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L:\Abteilung4\41\Mitarbeiter\Schmid_neu\099_Programme_Excel\2022_PV_Eigenstromrechner_Vers_4_3_3\aktuell\"/>
    </mc:Choice>
  </mc:AlternateContent>
  <bookViews>
    <workbookView xWindow="0" yWindow="0" windowWidth="28800" windowHeight="12345" tabRatio="813"/>
  </bookViews>
  <sheets>
    <sheet name="Programmbeschreibung" sheetId="26" r:id="rId1"/>
    <sheet name="Kalkulation_Eigenstrom" sheetId="15" r:id="rId2"/>
    <sheet name="Aktueller_Stand_EEG_2021" sheetId="32" r:id="rId3"/>
    <sheet name="Druck" sheetId="24" r:id="rId4"/>
    <sheet name="Vergütungen_Stammdaten" sheetId="17" r:id="rId5"/>
    <sheet name="Vergütungen_Original" sheetId="30" state="hidden" r:id="rId6"/>
    <sheet name="Einstrahlung" sheetId="16" r:id="rId7"/>
    <sheet name="ZRB" sheetId="18" r:id="rId8"/>
    <sheet name="Grafik_Ertrag" sheetId="22" r:id="rId9"/>
    <sheet name="Grafik_Kosten" sheetId="23" r:id="rId10"/>
  </sheets>
  <definedNames>
    <definedName name="_xlnm.Print_Area" localSheetId="2">Aktueller_Stand_EEG_2021!$AT$2:$BL$124</definedName>
    <definedName name="_xlnm.Print_Area" localSheetId="3">Druck!$H$5:$AM$163</definedName>
    <definedName name="_xlnm.Print_Area" localSheetId="6">Einstrahlung!$A$1:$AF$75</definedName>
    <definedName name="_xlnm.Print_Area" localSheetId="1">Kalkulation_Eigenstrom!$E$1:$T$87</definedName>
    <definedName name="_xlnm.Print_Area" localSheetId="0">Programmbeschreibung!$C$1:$AB$298</definedName>
    <definedName name="_xlnm.Print_Titles" localSheetId="0">Programmbeschreibung!$1:$7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68" i="17" l="1"/>
  <c r="O168" i="17"/>
  <c r="M168" i="17"/>
  <c r="K168" i="17"/>
  <c r="I168" i="17"/>
  <c r="Q167" i="17"/>
  <c r="O167" i="17"/>
  <c r="M167" i="17"/>
  <c r="K167" i="17"/>
  <c r="I167" i="17"/>
  <c r="Q166" i="17"/>
  <c r="O166" i="17"/>
  <c r="M166" i="17"/>
  <c r="K166" i="17"/>
  <c r="I166" i="17"/>
  <c r="A169" i="17"/>
  <c r="R169" i="17" s="1"/>
  <c r="M145" i="30" l="1"/>
  <c r="J145" i="30"/>
  <c r="G145" i="30"/>
  <c r="M144" i="30"/>
  <c r="J144" i="30"/>
  <c r="G144" i="30"/>
  <c r="M143" i="30"/>
  <c r="J143" i="30"/>
  <c r="G143" i="30"/>
  <c r="Q77" i="15" l="1"/>
  <c r="G115" i="18" l="1"/>
  <c r="S143" i="30" l="1"/>
  <c r="S144" i="30"/>
  <c r="S145" i="30"/>
  <c r="G146" i="30"/>
  <c r="J146" i="30"/>
  <c r="M146" i="30"/>
  <c r="S146" i="30"/>
  <c r="G147" i="30"/>
  <c r="J147" i="30"/>
  <c r="M147" i="30"/>
  <c r="S147" i="30"/>
  <c r="G148" i="30"/>
  <c r="J148" i="30"/>
  <c r="M148" i="30"/>
  <c r="S148" i="30"/>
  <c r="E149" i="30"/>
  <c r="F149" i="30" s="1"/>
  <c r="G149" i="30"/>
  <c r="H149" i="30"/>
  <c r="I149" i="30" s="1"/>
  <c r="J149" i="30"/>
  <c r="K149" i="30"/>
  <c r="L149" i="30" s="1"/>
  <c r="M149" i="30"/>
  <c r="N149" i="30"/>
  <c r="O149" i="30" s="1"/>
  <c r="S149" i="30"/>
  <c r="T149" i="30"/>
  <c r="U149" i="30" s="1"/>
  <c r="E150" i="30"/>
  <c r="F150" i="30" s="1"/>
  <c r="G150" i="30"/>
  <c r="H150" i="30"/>
  <c r="I150" i="30" s="1"/>
  <c r="J150" i="30"/>
  <c r="K150" i="30"/>
  <c r="L150" i="30" s="1"/>
  <c r="M150" i="30"/>
  <c r="N150" i="30"/>
  <c r="O150" i="30" s="1"/>
  <c r="S150" i="30"/>
  <c r="T150" i="30"/>
  <c r="U150" i="30" s="1"/>
  <c r="E151" i="30"/>
  <c r="F151" i="30"/>
  <c r="G151" i="30"/>
  <c r="H151" i="30"/>
  <c r="I151" i="30" s="1"/>
  <c r="J151" i="30"/>
  <c r="K151" i="30"/>
  <c r="L151" i="30" s="1"/>
  <c r="M151" i="30"/>
  <c r="N151" i="30"/>
  <c r="O151" i="30" s="1"/>
  <c r="S151" i="30"/>
  <c r="T151" i="30"/>
  <c r="U151" i="30" s="1"/>
  <c r="E152" i="30"/>
  <c r="F152" i="30" s="1"/>
  <c r="G152" i="30"/>
  <c r="H152" i="30"/>
  <c r="I152" i="30" s="1"/>
  <c r="J152" i="30"/>
  <c r="K152" i="30"/>
  <c r="L152" i="30" s="1"/>
  <c r="M152" i="30"/>
  <c r="N152" i="30"/>
  <c r="O152" i="30" s="1"/>
  <c r="S152" i="30"/>
  <c r="T152" i="30"/>
  <c r="U152" i="30" s="1"/>
  <c r="E153" i="30"/>
  <c r="F153" i="30" s="1"/>
  <c r="G153" i="30"/>
  <c r="H153" i="30"/>
  <c r="I153" i="30" s="1"/>
  <c r="J153" i="30"/>
  <c r="K153" i="30"/>
  <c r="L153" i="30" s="1"/>
  <c r="M153" i="30"/>
  <c r="N153" i="30"/>
  <c r="O153" i="30" s="1"/>
  <c r="S153" i="30"/>
  <c r="T153" i="30"/>
  <c r="U153" i="30" s="1"/>
  <c r="E154" i="30"/>
  <c r="F154" i="30" s="1"/>
  <c r="G154" i="30"/>
  <c r="H154" i="30"/>
  <c r="I154" i="30" s="1"/>
  <c r="J154" i="30"/>
  <c r="K154" i="30"/>
  <c r="L154" i="30" s="1"/>
  <c r="M154" i="30"/>
  <c r="N154" i="30"/>
  <c r="O154" i="30" s="1"/>
  <c r="S154" i="30"/>
  <c r="T154" i="30"/>
  <c r="U154" i="30" s="1"/>
  <c r="E155" i="30"/>
  <c r="F155" i="30" s="1"/>
  <c r="G155" i="30"/>
  <c r="H155" i="30"/>
  <c r="I155" i="30" s="1"/>
  <c r="J155" i="30"/>
  <c r="K155" i="30"/>
  <c r="L155" i="30" s="1"/>
  <c r="M155" i="30"/>
  <c r="N155" i="30"/>
  <c r="O155" i="30" s="1"/>
  <c r="S155" i="30"/>
  <c r="T155" i="30"/>
  <c r="U155" i="30" s="1"/>
  <c r="E156" i="30"/>
  <c r="F156" i="30" s="1"/>
  <c r="G156" i="30"/>
  <c r="H156" i="30"/>
  <c r="I156" i="30" s="1"/>
  <c r="J156" i="30"/>
  <c r="K156" i="30"/>
  <c r="L156" i="30" s="1"/>
  <c r="M156" i="30"/>
  <c r="N156" i="30"/>
  <c r="O156" i="30" s="1"/>
  <c r="S156" i="30"/>
  <c r="T156" i="30"/>
  <c r="U156" i="30" s="1"/>
  <c r="E157" i="30"/>
  <c r="F157" i="30" s="1"/>
  <c r="G157" i="30"/>
  <c r="H157" i="30"/>
  <c r="I157" i="30" s="1"/>
  <c r="J157" i="30"/>
  <c r="K157" i="30"/>
  <c r="L157" i="30" s="1"/>
  <c r="M157" i="30"/>
  <c r="N157" i="30"/>
  <c r="O157" i="30" s="1"/>
  <c r="S157" i="30"/>
  <c r="T157" i="30"/>
  <c r="U157" i="30" s="1"/>
  <c r="E158" i="30"/>
  <c r="F158" i="30" s="1"/>
  <c r="G158" i="30"/>
  <c r="H158" i="30"/>
  <c r="I158" i="30" s="1"/>
  <c r="J158" i="30"/>
  <c r="K158" i="30"/>
  <c r="L158" i="30" s="1"/>
  <c r="M158" i="30"/>
  <c r="N158" i="30"/>
  <c r="O158" i="30" s="1"/>
  <c r="S158" i="30"/>
  <c r="T158" i="30"/>
  <c r="U158" i="30" s="1"/>
  <c r="E159" i="30"/>
  <c r="F159" i="30" s="1"/>
  <c r="G159" i="30"/>
  <c r="H159" i="30"/>
  <c r="I159" i="30" s="1"/>
  <c r="J159" i="30"/>
  <c r="K159" i="30"/>
  <c r="L159" i="30" s="1"/>
  <c r="M159" i="30"/>
  <c r="N159" i="30"/>
  <c r="O159" i="30" s="1"/>
  <c r="S159" i="30"/>
  <c r="T159" i="30"/>
  <c r="U159" i="30" s="1"/>
  <c r="E160" i="30"/>
  <c r="F160" i="30" s="1"/>
  <c r="G160" i="30"/>
  <c r="H160" i="30"/>
  <c r="I160" i="30" s="1"/>
  <c r="J160" i="30"/>
  <c r="K160" i="30"/>
  <c r="L160" i="30" s="1"/>
  <c r="M160" i="30"/>
  <c r="N160" i="30"/>
  <c r="O160" i="30" s="1"/>
  <c r="S160" i="30"/>
  <c r="T160" i="30"/>
  <c r="U160" i="30" s="1"/>
  <c r="E161" i="30"/>
  <c r="F161" i="30" s="1"/>
  <c r="G161" i="30"/>
  <c r="H161" i="30"/>
  <c r="I161" i="30" s="1"/>
  <c r="J161" i="30"/>
  <c r="K161" i="30"/>
  <c r="L161" i="30" s="1"/>
  <c r="M161" i="30"/>
  <c r="N161" i="30"/>
  <c r="O161" i="30" s="1"/>
  <c r="S161" i="30"/>
  <c r="T161" i="30"/>
  <c r="U161" i="30" s="1"/>
  <c r="E162" i="30"/>
  <c r="F162" i="30" s="1"/>
  <c r="G162" i="30"/>
  <c r="H162" i="30"/>
  <c r="I162" i="30" s="1"/>
  <c r="J162" i="30"/>
  <c r="K162" i="30"/>
  <c r="L162" i="30" s="1"/>
  <c r="M162" i="30"/>
  <c r="N162" i="30"/>
  <c r="O162" i="30" s="1"/>
  <c r="S162" i="30"/>
  <c r="T162" i="30"/>
  <c r="U162" i="30" s="1"/>
  <c r="E163" i="30"/>
  <c r="F163" i="30" s="1"/>
  <c r="G163" i="30"/>
  <c r="H163" i="30"/>
  <c r="I163" i="30" s="1"/>
  <c r="J163" i="30"/>
  <c r="K163" i="30"/>
  <c r="L163" i="30" s="1"/>
  <c r="M163" i="30"/>
  <c r="N163" i="30"/>
  <c r="O163" i="30" s="1"/>
  <c r="S163" i="30"/>
  <c r="T163" i="30"/>
  <c r="U163" i="30" s="1"/>
  <c r="E164" i="30"/>
  <c r="F164" i="30" s="1"/>
  <c r="G164" i="30"/>
  <c r="H164" i="30"/>
  <c r="I164" i="30" s="1"/>
  <c r="J164" i="30"/>
  <c r="K164" i="30"/>
  <c r="L164" i="30" s="1"/>
  <c r="M164" i="30"/>
  <c r="N164" i="30"/>
  <c r="O164" i="30" s="1"/>
  <c r="S164" i="30"/>
  <c r="T164" i="30"/>
  <c r="U164" i="30" s="1"/>
  <c r="A188" i="17"/>
  <c r="R188" i="17" s="1"/>
  <c r="A187" i="17"/>
  <c r="R187" i="17" s="1"/>
  <c r="A186" i="17"/>
  <c r="R186" i="17" s="1"/>
  <c r="A185" i="17"/>
  <c r="R185" i="17" s="1"/>
  <c r="A184" i="17"/>
  <c r="R184" i="17" s="1"/>
  <c r="A183" i="17"/>
  <c r="R183" i="17" s="1"/>
  <c r="A182" i="17"/>
  <c r="R182" i="17" s="1"/>
  <c r="A181" i="17"/>
  <c r="R181" i="17" s="1"/>
  <c r="A180" i="17"/>
  <c r="R180" i="17" s="1"/>
  <c r="A179" i="17"/>
  <c r="R179" i="17" s="1"/>
  <c r="A178" i="17"/>
  <c r="R178" i="17" s="1"/>
  <c r="A177" i="17"/>
  <c r="R177" i="17" s="1"/>
  <c r="A176" i="17"/>
  <c r="R176" i="17" s="1"/>
  <c r="A175" i="17"/>
  <c r="R175" i="17" s="1"/>
  <c r="A174" i="17"/>
  <c r="R174" i="17" s="1"/>
  <c r="A173" i="17"/>
  <c r="R173" i="17" s="1"/>
  <c r="A172" i="17"/>
  <c r="R172" i="17" s="1"/>
  <c r="A171" i="17"/>
  <c r="R171" i="17" s="1"/>
  <c r="A170" i="17"/>
  <c r="R170" i="17" s="1"/>
  <c r="A168" i="17"/>
  <c r="R168" i="17" s="1"/>
  <c r="A167" i="17"/>
  <c r="R167" i="17" s="1"/>
  <c r="A166" i="17"/>
  <c r="R166" i="17" s="1"/>
  <c r="A165" i="17"/>
  <c r="A164" i="17"/>
  <c r="R164" i="17" l="1"/>
  <c r="K164" i="17"/>
  <c r="I164" i="17"/>
  <c r="O164" i="17"/>
  <c r="Q164" i="17"/>
  <c r="M164" i="17"/>
  <c r="R165" i="17"/>
  <c r="Q165" i="17"/>
  <c r="O165" i="17"/>
  <c r="M165" i="17"/>
  <c r="I165" i="17"/>
  <c r="K165" i="17"/>
  <c r="S129" i="30"/>
  <c r="S128" i="30"/>
  <c r="M129" i="30"/>
  <c r="J129" i="30"/>
  <c r="G129" i="30"/>
  <c r="M128" i="30"/>
  <c r="J128" i="30"/>
  <c r="G128" i="30"/>
  <c r="A124" i="17" l="1"/>
  <c r="A125" i="17"/>
  <c r="A126" i="17"/>
  <c r="A127" i="17"/>
  <c r="A128" i="17"/>
  <c r="A129" i="17"/>
  <c r="A130" i="17"/>
  <c r="R130" i="17" s="1"/>
  <c r="A131" i="17"/>
  <c r="R131" i="17" s="1"/>
  <c r="A132" i="17"/>
  <c r="R132" i="17" s="1"/>
  <c r="A133" i="17"/>
  <c r="R133" i="17" s="1"/>
  <c r="A134" i="17"/>
  <c r="R134" i="17" s="1"/>
  <c r="A135" i="17"/>
  <c r="R135" i="17" s="1"/>
  <c r="A136" i="17"/>
  <c r="R136" i="17" s="1"/>
  <c r="A137" i="17"/>
  <c r="R137" i="17" s="1"/>
  <c r="A138" i="17"/>
  <c r="R138" i="17" s="1"/>
  <c r="A139" i="17"/>
  <c r="R139" i="17" s="1"/>
  <c r="A140" i="17"/>
  <c r="R140" i="17" s="1"/>
  <c r="A141" i="17"/>
  <c r="R141" i="17" s="1"/>
  <c r="A142" i="17"/>
  <c r="R142" i="17" s="1"/>
  <c r="A143" i="17"/>
  <c r="R143" i="17" s="1"/>
  <c r="A144" i="17"/>
  <c r="R144" i="17" s="1"/>
  <c r="A145" i="17"/>
  <c r="R145" i="17" s="1"/>
  <c r="A146" i="17"/>
  <c r="R146" i="17" s="1"/>
  <c r="A147" i="17"/>
  <c r="R147" i="17" s="1"/>
  <c r="A148" i="17"/>
  <c r="R148" i="17" s="1"/>
  <c r="A149" i="17"/>
  <c r="R149" i="17" s="1"/>
  <c r="A150" i="17"/>
  <c r="R150" i="17" s="1"/>
  <c r="A151" i="17"/>
  <c r="A152" i="17"/>
  <c r="A153" i="17"/>
  <c r="A154" i="17"/>
  <c r="A155" i="17"/>
  <c r="A156" i="17"/>
  <c r="A157" i="17"/>
  <c r="A158" i="17"/>
  <c r="A159" i="17"/>
  <c r="Q154" i="17" l="1"/>
  <c r="M154" i="17"/>
  <c r="I154" i="17"/>
  <c r="O154" i="17"/>
  <c r="K154" i="17"/>
  <c r="R154" i="17"/>
  <c r="M152" i="17"/>
  <c r="R152" i="17"/>
  <c r="Q152" i="17"/>
  <c r="O152" i="17"/>
  <c r="K152" i="17"/>
  <c r="I152" i="17"/>
  <c r="Q128" i="17"/>
  <c r="R128" i="17"/>
  <c r="Q127" i="17"/>
  <c r="R127" i="17"/>
  <c r="O159" i="17"/>
  <c r="K159" i="17"/>
  <c r="Q159" i="17"/>
  <c r="M159" i="17"/>
  <c r="I159" i="17"/>
  <c r="R159" i="17"/>
  <c r="Q158" i="17"/>
  <c r="M158" i="17"/>
  <c r="I158" i="17"/>
  <c r="R158" i="17"/>
  <c r="O158" i="17"/>
  <c r="K158" i="17"/>
  <c r="Q126" i="17"/>
  <c r="R126" i="17"/>
  <c r="Q157" i="17"/>
  <c r="M157" i="17"/>
  <c r="I157" i="17"/>
  <c r="R157" i="17"/>
  <c r="O157" i="17"/>
  <c r="K157" i="17"/>
  <c r="Q125" i="17"/>
  <c r="R125" i="17"/>
  <c r="R155" i="17"/>
  <c r="Q155" i="17"/>
  <c r="M155" i="17"/>
  <c r="I155" i="17"/>
  <c r="O155" i="17"/>
  <c r="K155" i="17"/>
  <c r="O153" i="17"/>
  <c r="K153" i="17"/>
  <c r="M153" i="17"/>
  <c r="I153" i="17"/>
  <c r="R153" i="17"/>
  <c r="Q153" i="17"/>
  <c r="Q129" i="17"/>
  <c r="R129" i="17"/>
  <c r="Q151" i="17"/>
  <c r="I151" i="17"/>
  <c r="R151" i="17"/>
  <c r="M151" i="17"/>
  <c r="O151" i="17"/>
  <c r="K151" i="17"/>
  <c r="K156" i="17"/>
  <c r="Q156" i="17"/>
  <c r="M156" i="17"/>
  <c r="I156" i="17"/>
  <c r="R156" i="17"/>
  <c r="O156" i="17"/>
  <c r="Q124" i="17"/>
  <c r="R124" i="17"/>
  <c r="I148" i="17"/>
  <c r="Q148" i="17"/>
  <c r="O148" i="17"/>
  <c r="M148" i="17"/>
  <c r="K148" i="17"/>
  <c r="Q147" i="17"/>
  <c r="K147" i="17"/>
  <c r="O147" i="17"/>
  <c r="I147" i="17"/>
  <c r="M147" i="17"/>
  <c r="Q144" i="17"/>
  <c r="O144" i="17"/>
  <c r="O143" i="17"/>
  <c r="Q143" i="17"/>
  <c r="K146" i="17"/>
  <c r="O146" i="17"/>
  <c r="M146" i="17"/>
  <c r="I146" i="17"/>
  <c r="Q146" i="17"/>
  <c r="I145" i="17"/>
  <c r="M145" i="17"/>
  <c r="K145" i="17"/>
  <c r="O145" i="17"/>
  <c r="Q145" i="17"/>
  <c r="Q150" i="17"/>
  <c r="I150" i="17"/>
  <c r="K150" i="17"/>
  <c r="O150" i="17"/>
  <c r="M150" i="17"/>
  <c r="K149" i="17"/>
  <c r="Q149" i="17"/>
  <c r="O149" i="17"/>
  <c r="I149" i="17"/>
  <c r="M149" i="17"/>
  <c r="M144" i="17"/>
  <c r="K144" i="17"/>
  <c r="I144" i="17"/>
  <c r="M143" i="17"/>
  <c r="K143" i="17"/>
  <c r="I143" i="17"/>
  <c r="M142" i="17"/>
  <c r="K142" i="17"/>
  <c r="I142" i="17"/>
  <c r="Q142" i="17"/>
  <c r="O142" i="17"/>
  <c r="M139" i="17"/>
  <c r="O139" i="17"/>
  <c r="K139" i="17"/>
  <c r="Q139" i="17"/>
  <c r="I139" i="17"/>
  <c r="Q141" i="17"/>
  <c r="M141" i="17"/>
  <c r="I141" i="17"/>
  <c r="K141" i="17"/>
  <c r="O141" i="17"/>
  <c r="Q140" i="17"/>
  <c r="M140" i="17"/>
  <c r="I140" i="17"/>
  <c r="O140" i="17"/>
  <c r="K140" i="17"/>
  <c r="Q137" i="17"/>
  <c r="O137" i="17"/>
  <c r="M137" i="17"/>
  <c r="K137" i="17"/>
  <c r="I137" i="17"/>
  <c r="Q138" i="17"/>
  <c r="O138" i="17"/>
  <c r="M138" i="17"/>
  <c r="K138" i="17"/>
  <c r="I138" i="17"/>
  <c r="Q136" i="17"/>
  <c r="M136" i="17"/>
  <c r="I136" i="17"/>
  <c r="O136" i="17"/>
  <c r="K136" i="17"/>
  <c r="M135" i="17"/>
  <c r="K135" i="17"/>
  <c r="O135" i="17"/>
  <c r="Q135" i="17"/>
  <c r="I135" i="17"/>
  <c r="O134" i="17"/>
  <c r="Q134" i="17"/>
  <c r="I134" i="17"/>
  <c r="K134" i="17"/>
  <c r="M134" i="17"/>
  <c r="Q133" i="17"/>
  <c r="I133" i="17"/>
  <c r="K133" i="17"/>
  <c r="M133" i="17"/>
  <c r="O133" i="17"/>
  <c r="O132" i="17"/>
  <c r="K132" i="17"/>
  <c r="Q132" i="17"/>
  <c r="M132" i="17"/>
  <c r="I132" i="17"/>
  <c r="O130" i="17"/>
  <c r="K130" i="17"/>
  <c r="Q130" i="17"/>
  <c r="M130" i="17"/>
  <c r="I130" i="17"/>
  <c r="Q131" i="17"/>
  <c r="M131" i="17"/>
  <c r="I131" i="17"/>
  <c r="O131" i="17"/>
  <c r="K131" i="17"/>
  <c r="I129" i="17"/>
  <c r="I127" i="17"/>
  <c r="I125" i="17"/>
  <c r="K129" i="17"/>
  <c r="K127" i="17"/>
  <c r="K125" i="17"/>
  <c r="M129" i="17"/>
  <c r="M127" i="17"/>
  <c r="M125" i="17"/>
  <c r="O129" i="17"/>
  <c r="O127" i="17"/>
  <c r="O125" i="17"/>
  <c r="I128" i="17"/>
  <c r="I126" i="17"/>
  <c r="I124" i="17"/>
  <c r="K128" i="17"/>
  <c r="K126" i="17"/>
  <c r="K124" i="17"/>
  <c r="M128" i="17"/>
  <c r="M126" i="17"/>
  <c r="M124" i="17"/>
  <c r="O128" i="17"/>
  <c r="O126" i="17"/>
  <c r="O124" i="17"/>
  <c r="T165" i="30"/>
  <c r="U165" i="30" s="1"/>
  <c r="S165" i="30"/>
  <c r="N165" i="30"/>
  <c r="O165" i="30" s="1"/>
  <c r="M165" i="30"/>
  <c r="K165" i="30"/>
  <c r="L165" i="30" s="1"/>
  <c r="J165" i="30"/>
  <c r="H165" i="30"/>
  <c r="I165" i="30" s="1"/>
  <c r="G165" i="30"/>
  <c r="E165" i="30"/>
  <c r="F165" i="30" s="1"/>
  <c r="S127" i="30"/>
  <c r="M127" i="30"/>
  <c r="J127" i="30"/>
  <c r="G127" i="30"/>
  <c r="S126" i="30"/>
  <c r="M126" i="30"/>
  <c r="J126" i="30"/>
  <c r="G126" i="30"/>
  <c r="S125" i="30"/>
  <c r="M125" i="30"/>
  <c r="J125" i="30"/>
  <c r="G125" i="30"/>
  <c r="S124" i="30"/>
  <c r="M124" i="30"/>
  <c r="J124" i="30"/>
  <c r="G124" i="30"/>
  <c r="S123" i="30"/>
  <c r="M123" i="30"/>
  <c r="J123" i="30"/>
  <c r="G123" i="30"/>
  <c r="S122" i="30"/>
  <c r="M122" i="30"/>
  <c r="J122" i="30"/>
  <c r="G122" i="30"/>
  <c r="S121" i="30"/>
  <c r="M121" i="30"/>
  <c r="J121" i="30"/>
  <c r="G121" i="30"/>
  <c r="S120" i="30"/>
  <c r="M120" i="30"/>
  <c r="J120" i="30"/>
  <c r="G120" i="30"/>
  <c r="S119" i="30"/>
  <c r="M119" i="30"/>
  <c r="J119" i="30"/>
  <c r="G119" i="30"/>
  <c r="S118" i="30"/>
  <c r="M118" i="30"/>
  <c r="J118" i="30"/>
  <c r="G118" i="30"/>
  <c r="S117" i="30"/>
  <c r="M117" i="30"/>
  <c r="J117" i="30"/>
  <c r="G117" i="30"/>
  <c r="G39" i="18" l="1"/>
  <c r="Q48" i="24" s="1"/>
  <c r="G38" i="18"/>
  <c r="Q46" i="24" s="1"/>
  <c r="S116" i="30"/>
  <c r="M116" i="30"/>
  <c r="J116" i="30"/>
  <c r="G116" i="30"/>
  <c r="S115" i="30"/>
  <c r="M115" i="30"/>
  <c r="J115" i="30"/>
  <c r="G115" i="30"/>
  <c r="S114" i="30"/>
  <c r="M114" i="30"/>
  <c r="J114" i="30"/>
  <c r="G114" i="30"/>
  <c r="S113" i="30"/>
  <c r="M113" i="30"/>
  <c r="J113" i="30"/>
  <c r="G113" i="30"/>
  <c r="S112" i="30"/>
  <c r="M112" i="30"/>
  <c r="J112" i="30"/>
  <c r="G112" i="30"/>
  <c r="S111" i="30"/>
  <c r="M111" i="30"/>
  <c r="J111" i="30"/>
  <c r="G111" i="30"/>
  <c r="S110" i="30"/>
  <c r="M110" i="30"/>
  <c r="J110" i="30"/>
  <c r="G110" i="30"/>
  <c r="S109" i="30"/>
  <c r="M109" i="30"/>
  <c r="J109" i="30"/>
  <c r="G109" i="30"/>
  <c r="S108" i="30"/>
  <c r="M108" i="30"/>
  <c r="J108" i="30"/>
  <c r="G108" i="30"/>
  <c r="S107" i="30"/>
  <c r="M107" i="30"/>
  <c r="J107" i="30"/>
  <c r="G107" i="30"/>
  <c r="S106" i="30"/>
  <c r="M106" i="30"/>
  <c r="J106" i="30"/>
  <c r="G106" i="30"/>
  <c r="S105" i="30"/>
  <c r="M105" i="30"/>
  <c r="J105" i="30"/>
  <c r="G105" i="30"/>
  <c r="S104" i="30"/>
  <c r="M104" i="30"/>
  <c r="J104" i="30"/>
  <c r="G104" i="30"/>
  <c r="S103" i="30"/>
  <c r="M103" i="30"/>
  <c r="J103" i="30"/>
  <c r="G103" i="30"/>
  <c r="S102" i="30"/>
  <c r="M102" i="30"/>
  <c r="J102" i="30"/>
  <c r="G102" i="30"/>
  <c r="S101" i="30"/>
  <c r="M101" i="30"/>
  <c r="J101" i="30"/>
  <c r="G101" i="30"/>
  <c r="S100" i="30"/>
  <c r="M100" i="30"/>
  <c r="J100" i="30"/>
  <c r="G100" i="30"/>
  <c r="S99" i="30"/>
  <c r="M99" i="30"/>
  <c r="J99" i="30"/>
  <c r="G99" i="30"/>
  <c r="S98" i="30"/>
  <c r="M98" i="30"/>
  <c r="J98" i="30"/>
  <c r="G98" i="30"/>
  <c r="H125" i="15"/>
  <c r="A102" i="17"/>
  <c r="I102" i="17" s="1"/>
  <c r="P65" i="15"/>
  <c r="E109" i="18"/>
  <c r="H65" i="15"/>
  <c r="A103" i="17"/>
  <c r="K103" i="17" s="1"/>
  <c r="A104" i="17"/>
  <c r="O104" i="17" s="1"/>
  <c r="A105" i="17"/>
  <c r="K105" i="17" s="1"/>
  <c r="A106" i="17"/>
  <c r="I106" i="17" s="1"/>
  <c r="A107" i="17"/>
  <c r="R107" i="17" s="1"/>
  <c r="A108" i="17"/>
  <c r="A109" i="17"/>
  <c r="R109" i="17" s="1"/>
  <c r="A110" i="17"/>
  <c r="A111" i="17"/>
  <c r="R111" i="17" s="1"/>
  <c r="A112" i="17"/>
  <c r="A113" i="17"/>
  <c r="A114" i="17"/>
  <c r="O114" i="17" s="1"/>
  <c r="A115" i="17"/>
  <c r="R115" i="17" s="1"/>
  <c r="A116" i="17"/>
  <c r="R116" i="17" s="1"/>
  <c r="A117" i="17"/>
  <c r="R117" i="17" s="1"/>
  <c r="A118" i="17"/>
  <c r="R118" i="17" s="1"/>
  <c r="A119" i="17"/>
  <c r="R119" i="17" s="1"/>
  <c r="A120" i="17"/>
  <c r="R120" i="17" s="1"/>
  <c r="A121" i="17"/>
  <c r="R121" i="17" s="1"/>
  <c r="A122" i="17"/>
  <c r="R122" i="17" s="1"/>
  <c r="A123" i="17"/>
  <c r="R123" i="17" s="1"/>
  <c r="A160" i="17"/>
  <c r="A161" i="17"/>
  <c r="A162" i="17"/>
  <c r="A163" i="17"/>
  <c r="AP83" i="15"/>
  <c r="B78" i="18" s="1"/>
  <c r="AN85" i="15"/>
  <c r="A93" i="17"/>
  <c r="Q93" i="17" s="1"/>
  <c r="A101" i="17"/>
  <c r="K101" i="17" s="1"/>
  <c r="A100" i="17"/>
  <c r="O100" i="17" s="1"/>
  <c r="A99" i="17"/>
  <c r="O99" i="17" s="1"/>
  <c r="A98" i="17"/>
  <c r="M98" i="17" s="1"/>
  <c r="A97" i="17"/>
  <c r="I97" i="17" s="1"/>
  <c r="A96" i="17"/>
  <c r="Q96" i="17" s="1"/>
  <c r="A95" i="17"/>
  <c r="Q95" i="17" s="1"/>
  <c r="A94" i="17"/>
  <c r="K94" i="17" s="1"/>
  <c r="A92" i="17"/>
  <c r="O92" i="17" s="1"/>
  <c r="A91" i="17"/>
  <c r="A90" i="17"/>
  <c r="O90" i="17" s="1"/>
  <c r="A89" i="17"/>
  <c r="Q89" i="17" s="1"/>
  <c r="A88" i="17"/>
  <c r="I88" i="17" s="1"/>
  <c r="A87" i="17"/>
  <c r="M87" i="17" s="1"/>
  <c r="A86" i="17"/>
  <c r="M86" i="17" s="1"/>
  <c r="A85" i="17"/>
  <c r="K85" i="17" s="1"/>
  <c r="A84" i="17"/>
  <c r="R84" i="17" s="1"/>
  <c r="A83" i="17"/>
  <c r="Q83" i="17" s="1"/>
  <c r="A82" i="17"/>
  <c r="R82" i="17" s="1"/>
  <c r="A81" i="17"/>
  <c r="K81" i="17" s="1"/>
  <c r="A80" i="17"/>
  <c r="I80" i="17" s="1"/>
  <c r="A79" i="17"/>
  <c r="I79" i="17" s="1"/>
  <c r="A78" i="17"/>
  <c r="O78" i="17" s="1"/>
  <c r="A77" i="17"/>
  <c r="Q77" i="17" s="1"/>
  <c r="A76" i="17"/>
  <c r="Q76" i="17" s="1"/>
  <c r="A75" i="17"/>
  <c r="O75" i="17" s="1"/>
  <c r="A74" i="17"/>
  <c r="Q74" i="17" s="1"/>
  <c r="V199" i="30"/>
  <c r="V205" i="30" s="1"/>
  <c r="R199" i="30"/>
  <c r="O199" i="30"/>
  <c r="O205" i="30" s="1"/>
  <c r="K199" i="30"/>
  <c r="K205" i="30" s="1"/>
  <c r="H199" i="30"/>
  <c r="H205" i="30" s="1"/>
  <c r="G91" i="30"/>
  <c r="G90" i="30"/>
  <c r="G89" i="30"/>
  <c r="G88" i="30"/>
  <c r="G87" i="30"/>
  <c r="G86" i="30"/>
  <c r="G85" i="30"/>
  <c r="G84" i="30"/>
  <c r="G83" i="30"/>
  <c r="T82" i="30"/>
  <c r="T83" i="30" s="1"/>
  <c r="N82" i="30"/>
  <c r="N83" i="30" s="1"/>
  <c r="N84" i="30" s="1"/>
  <c r="N85" i="30" s="1"/>
  <c r="G82" i="30"/>
  <c r="S72" i="30"/>
  <c r="M72" i="30"/>
  <c r="G72" i="30"/>
  <c r="S71" i="30"/>
  <c r="M71" i="30"/>
  <c r="G71" i="30"/>
  <c r="U70" i="30"/>
  <c r="U71" i="30" s="1"/>
  <c r="U72" i="30" s="1"/>
  <c r="T70" i="30"/>
  <c r="T71" i="30" s="1"/>
  <c r="T72" i="30" s="1"/>
  <c r="S70" i="30"/>
  <c r="N70" i="30"/>
  <c r="N71" i="30"/>
  <c r="N72" i="30" s="1"/>
  <c r="M70" i="30"/>
  <c r="L70" i="30"/>
  <c r="L71" i="30" s="1"/>
  <c r="L72" i="30" s="1"/>
  <c r="K70" i="30"/>
  <c r="K71" i="30" s="1"/>
  <c r="K72" i="30" s="1"/>
  <c r="I70" i="30"/>
  <c r="I71" i="30" s="1"/>
  <c r="H70" i="30"/>
  <c r="H71" i="30" s="1"/>
  <c r="H72" i="30" s="1"/>
  <c r="G70" i="30"/>
  <c r="F70" i="30"/>
  <c r="F71" i="30" s="1"/>
  <c r="F72" i="30" s="1"/>
  <c r="E70" i="30"/>
  <c r="E71" i="30" s="1"/>
  <c r="E72" i="30" s="1"/>
  <c r="S66" i="30"/>
  <c r="M66" i="30"/>
  <c r="J66" i="30"/>
  <c r="G66" i="30"/>
  <c r="S65" i="30"/>
  <c r="M65" i="30"/>
  <c r="J65" i="30"/>
  <c r="G65" i="30"/>
  <c r="S64" i="30"/>
  <c r="M64" i="30"/>
  <c r="J64" i="30"/>
  <c r="G64" i="30"/>
  <c r="S63" i="30"/>
  <c r="M63" i="30"/>
  <c r="J63" i="30"/>
  <c r="G63" i="30"/>
  <c r="S62" i="30"/>
  <c r="M62" i="30"/>
  <c r="J62" i="30"/>
  <c r="G62" i="30"/>
  <c r="S61" i="30"/>
  <c r="M61" i="30"/>
  <c r="J61" i="30"/>
  <c r="G61" i="30"/>
  <c r="S60" i="30"/>
  <c r="M60" i="30"/>
  <c r="J60" i="30"/>
  <c r="G60" i="30"/>
  <c r="S59" i="30"/>
  <c r="M59" i="30"/>
  <c r="J59" i="30"/>
  <c r="G59" i="30"/>
  <c r="S58" i="30"/>
  <c r="M58" i="30"/>
  <c r="J58" i="30"/>
  <c r="G58" i="30"/>
  <c r="E54" i="30"/>
  <c r="S52" i="30"/>
  <c r="M52" i="30"/>
  <c r="J52" i="30"/>
  <c r="G52" i="30"/>
  <c r="S51" i="30"/>
  <c r="M51" i="30"/>
  <c r="J51" i="30"/>
  <c r="G51" i="30"/>
  <c r="S50" i="30"/>
  <c r="M50" i="30"/>
  <c r="J50" i="30"/>
  <c r="G50" i="30"/>
  <c r="S49" i="30"/>
  <c r="M49" i="30"/>
  <c r="J49" i="30"/>
  <c r="G49" i="30"/>
  <c r="S48" i="30"/>
  <c r="M48" i="30"/>
  <c r="J48" i="30"/>
  <c r="G48" i="30"/>
  <c r="U47" i="30"/>
  <c r="S47" i="30"/>
  <c r="M47" i="30"/>
  <c r="J47" i="30"/>
  <c r="G47" i="30"/>
  <c r="S46" i="30"/>
  <c r="M46" i="30"/>
  <c r="J46" i="30"/>
  <c r="G46" i="30"/>
  <c r="S45" i="30"/>
  <c r="M45" i="30"/>
  <c r="J45" i="30"/>
  <c r="G45" i="30"/>
  <c r="S44" i="30"/>
  <c r="M44" i="30"/>
  <c r="J44" i="30"/>
  <c r="G44" i="30"/>
  <c r="S43" i="30"/>
  <c r="M43" i="30"/>
  <c r="J43" i="30"/>
  <c r="G43" i="30"/>
  <c r="S42" i="30"/>
  <c r="M42" i="30"/>
  <c r="J42" i="30"/>
  <c r="G42" i="30"/>
  <c r="S41" i="30"/>
  <c r="M41" i="30"/>
  <c r="J41" i="30"/>
  <c r="G41" i="30"/>
  <c r="S40" i="30"/>
  <c r="M40" i="30"/>
  <c r="J40" i="30"/>
  <c r="G40" i="30"/>
  <c r="S39" i="30"/>
  <c r="M39" i="30"/>
  <c r="J39" i="30"/>
  <c r="G39" i="30"/>
  <c r="S38" i="30"/>
  <c r="M38" i="30"/>
  <c r="J38" i="30"/>
  <c r="G38" i="30"/>
  <c r="S37" i="30"/>
  <c r="M37" i="30"/>
  <c r="J37" i="30"/>
  <c r="G37" i="30"/>
  <c r="S36" i="30"/>
  <c r="M36" i="30"/>
  <c r="J36" i="30"/>
  <c r="G36" i="30"/>
  <c r="S35" i="30"/>
  <c r="M35" i="30"/>
  <c r="J35" i="30"/>
  <c r="G35" i="30"/>
  <c r="AJ23" i="30"/>
  <c r="AI23" i="30"/>
  <c r="AH23" i="30"/>
  <c r="AG23" i="30"/>
  <c r="AF23" i="30"/>
  <c r="AE23" i="30"/>
  <c r="X22" i="30"/>
  <c r="O22" i="30"/>
  <c r="L22" i="30"/>
  <c r="AJ22" i="30" s="1"/>
  <c r="I22" i="30"/>
  <c r="AG22" i="30" s="1"/>
  <c r="F22" i="30"/>
  <c r="AF22" i="30" s="1"/>
  <c r="AJ21" i="30"/>
  <c r="AI21" i="30"/>
  <c r="AH21" i="30"/>
  <c r="AG21" i="30"/>
  <c r="AF21" i="30"/>
  <c r="AE21" i="30"/>
  <c r="U18" i="30"/>
  <c r="U19" i="30" s="1"/>
  <c r="U20" i="30" s="1"/>
  <c r="U21" i="30" s="1"/>
  <c r="U22" i="30" s="1"/>
  <c r="O18" i="30"/>
  <c r="O19" i="30" s="1"/>
  <c r="O20" i="30" s="1"/>
  <c r="L18" i="30"/>
  <c r="L19" i="30" s="1"/>
  <c r="AJ19" i="30" s="1"/>
  <c r="I18" i="30"/>
  <c r="I19" i="30" s="1"/>
  <c r="AG19" i="30" s="1"/>
  <c r="F18" i="30"/>
  <c r="AD17" i="30"/>
  <c r="AC17" i="30"/>
  <c r="X13" i="30"/>
  <c r="X14" i="30" s="1"/>
  <c r="X15" i="30" s="1"/>
  <c r="X16" i="30" s="1"/>
  <c r="X17" i="30" s="1"/>
  <c r="X18" i="30" s="1"/>
  <c r="X19" i="30" s="1"/>
  <c r="X20" i="30" s="1"/>
  <c r="U13" i="30"/>
  <c r="U14" i="30" s="1"/>
  <c r="U15" i="30" s="1"/>
  <c r="U16" i="30" s="1"/>
  <c r="O13" i="30"/>
  <c r="O14" i="30" s="1"/>
  <c r="O15" i="30" s="1"/>
  <c r="O16" i="30" s="1"/>
  <c r="L13" i="30"/>
  <c r="L14" i="30" s="1"/>
  <c r="L15" i="30" s="1"/>
  <c r="L16" i="30" s="1"/>
  <c r="I13" i="30"/>
  <c r="I14" i="30" s="1"/>
  <c r="I15" i="30" s="1"/>
  <c r="I16" i="30" s="1"/>
  <c r="F13" i="30"/>
  <c r="F14" i="30" s="1"/>
  <c r="F15" i="30" s="1"/>
  <c r="F16" i="30" s="1"/>
  <c r="AJ11" i="30"/>
  <c r="AI11" i="30"/>
  <c r="AH11" i="30"/>
  <c r="AG11" i="30"/>
  <c r="AF11" i="30"/>
  <c r="AE11" i="30"/>
  <c r="AD11" i="30"/>
  <c r="A73" i="17"/>
  <c r="K73" i="17" s="1"/>
  <c r="E2" i="15"/>
  <c r="E5" i="15"/>
  <c r="AH4" i="15"/>
  <c r="CY4" i="15" s="1"/>
  <c r="AH5" i="24" s="1"/>
  <c r="H5" i="24"/>
  <c r="Y139" i="24"/>
  <c r="BF39" i="15"/>
  <c r="I122" i="24"/>
  <c r="I82" i="24"/>
  <c r="I56" i="24"/>
  <c r="I54" i="24"/>
  <c r="I52" i="24"/>
  <c r="I50" i="24"/>
  <c r="I48" i="24"/>
  <c r="I46" i="24"/>
  <c r="I44" i="24"/>
  <c r="I42" i="24"/>
  <c r="AM67" i="24"/>
  <c r="AL67" i="24"/>
  <c r="AK67" i="24"/>
  <c r="AJ67" i="24"/>
  <c r="AI67" i="24"/>
  <c r="AH67" i="24"/>
  <c r="AG67" i="24"/>
  <c r="AF67" i="24"/>
  <c r="AE67" i="24"/>
  <c r="AD67" i="24"/>
  <c r="AC67" i="24"/>
  <c r="AB67" i="24"/>
  <c r="AA67" i="24"/>
  <c r="Z67" i="24"/>
  <c r="AM66" i="24"/>
  <c r="AL66" i="24"/>
  <c r="AK66" i="24"/>
  <c r="AJ66" i="24"/>
  <c r="AI66" i="24"/>
  <c r="AH66" i="24"/>
  <c r="AG66" i="24"/>
  <c r="AF66" i="24"/>
  <c r="AE66" i="24"/>
  <c r="AD66" i="24"/>
  <c r="AC66" i="24"/>
  <c r="AB66" i="24"/>
  <c r="AA66" i="24"/>
  <c r="AM65" i="24"/>
  <c r="AL65" i="24"/>
  <c r="AK65" i="24"/>
  <c r="AJ65" i="24"/>
  <c r="AI65" i="24"/>
  <c r="AH65" i="24"/>
  <c r="AG65" i="24"/>
  <c r="AF65" i="24"/>
  <c r="AE65" i="24"/>
  <c r="AD65" i="24"/>
  <c r="AC65" i="24"/>
  <c r="AB65" i="24"/>
  <c r="AA65" i="24"/>
  <c r="Z65" i="24"/>
  <c r="AM64" i="24"/>
  <c r="AL64" i="24"/>
  <c r="AK64" i="24"/>
  <c r="AJ64" i="24"/>
  <c r="AI64" i="24"/>
  <c r="AH64" i="24"/>
  <c r="AG64" i="24"/>
  <c r="AF64" i="24"/>
  <c r="AE64" i="24"/>
  <c r="AD64" i="24"/>
  <c r="AC64" i="24"/>
  <c r="AB64" i="24"/>
  <c r="AA64" i="24"/>
  <c r="AM63" i="24"/>
  <c r="AL63" i="24"/>
  <c r="AK63" i="24"/>
  <c r="AJ63" i="24"/>
  <c r="AI63" i="24"/>
  <c r="AH63" i="24"/>
  <c r="AG63" i="24"/>
  <c r="AF63" i="24"/>
  <c r="AE63" i="24"/>
  <c r="AD63" i="24"/>
  <c r="AC63" i="24"/>
  <c r="AB63" i="24"/>
  <c r="AA63" i="24"/>
  <c r="Z63" i="24"/>
  <c r="AM62" i="24"/>
  <c r="AL62" i="24"/>
  <c r="AK62" i="24"/>
  <c r="AJ62" i="24"/>
  <c r="AI62" i="24"/>
  <c r="AH62" i="24"/>
  <c r="AG62" i="24"/>
  <c r="AF62" i="24"/>
  <c r="AE62" i="24"/>
  <c r="AD62" i="24"/>
  <c r="AC62" i="24"/>
  <c r="AB62" i="24"/>
  <c r="AA62" i="24"/>
  <c r="AM61" i="24"/>
  <c r="AL61" i="24"/>
  <c r="AK61" i="24"/>
  <c r="AJ61" i="24"/>
  <c r="AI61" i="24"/>
  <c r="AH61" i="24"/>
  <c r="AG61" i="24"/>
  <c r="AF61" i="24"/>
  <c r="AE61" i="24"/>
  <c r="AD61" i="24"/>
  <c r="AC61" i="24"/>
  <c r="AB61" i="24"/>
  <c r="AA61" i="24"/>
  <c r="Z61" i="24"/>
  <c r="AM60" i="24"/>
  <c r="AL60" i="24"/>
  <c r="AK60" i="24"/>
  <c r="AJ60" i="24"/>
  <c r="AI60" i="24"/>
  <c r="AH60" i="24"/>
  <c r="AG60" i="24"/>
  <c r="AF60" i="24"/>
  <c r="AE60" i="24"/>
  <c r="AD60" i="24"/>
  <c r="AC60" i="24"/>
  <c r="AB60" i="24"/>
  <c r="AA60" i="24"/>
  <c r="Z56" i="24"/>
  <c r="Z54" i="24"/>
  <c r="Z52" i="24"/>
  <c r="X28" i="24"/>
  <c r="B22" i="23"/>
  <c r="W34" i="18"/>
  <c r="X30" i="18"/>
  <c r="Z29" i="18"/>
  <c r="CW61" i="15"/>
  <c r="G99" i="18" s="1"/>
  <c r="E7" i="15"/>
  <c r="G2" i="18" s="1"/>
  <c r="G100" i="18"/>
  <c r="CW63" i="15" s="1"/>
  <c r="F58" i="18"/>
  <c r="AW59" i="15" s="1"/>
  <c r="G21" i="18"/>
  <c r="M31" i="15" s="1"/>
  <c r="BJ51" i="15"/>
  <c r="G94" i="18" s="1"/>
  <c r="R11" i="18" s="1"/>
  <c r="AN33" i="15"/>
  <c r="K77" i="15" s="1"/>
  <c r="F30" i="18"/>
  <c r="D10" i="23" s="1"/>
  <c r="AP57" i="15"/>
  <c r="B55" i="18" s="1"/>
  <c r="AP55" i="15"/>
  <c r="B54" i="18" s="1"/>
  <c r="AP53" i="15"/>
  <c r="B53" i="18" s="1"/>
  <c r="AP51" i="15"/>
  <c r="B47" i="18" s="1"/>
  <c r="AP49" i="15"/>
  <c r="B46" i="18" s="1"/>
  <c r="AP47" i="15"/>
  <c r="I70" i="24" s="1"/>
  <c r="AP45" i="15"/>
  <c r="B44" i="18" s="1"/>
  <c r="AP43" i="15"/>
  <c r="B21" i="23"/>
  <c r="B32" i="23"/>
  <c r="B31" i="23"/>
  <c r="B30" i="23"/>
  <c r="B29" i="23"/>
  <c r="B28" i="23"/>
  <c r="B27" i="23"/>
  <c r="B26" i="23"/>
  <c r="B25" i="23"/>
  <c r="B24" i="23"/>
  <c r="B23" i="23"/>
  <c r="W144" i="18"/>
  <c r="X140" i="18"/>
  <c r="AB139" i="18"/>
  <c r="Z139" i="18"/>
  <c r="AE139" i="18" s="1"/>
  <c r="W133" i="18"/>
  <c r="X129" i="18"/>
  <c r="AB128" i="18"/>
  <c r="Z128" i="18"/>
  <c r="AE128" i="18" s="1"/>
  <c r="W122" i="18"/>
  <c r="X118" i="18"/>
  <c r="AB117" i="18"/>
  <c r="Z117" i="18"/>
  <c r="AA117" i="18" s="1"/>
  <c r="W111" i="18"/>
  <c r="X107" i="18"/>
  <c r="AB106" i="18"/>
  <c r="Z106" i="18"/>
  <c r="AE106" i="18" s="1"/>
  <c r="W100" i="18"/>
  <c r="X96" i="18"/>
  <c r="AB95" i="18"/>
  <c r="Z95" i="18"/>
  <c r="AC95" i="18" s="1"/>
  <c r="W89" i="18"/>
  <c r="X85" i="18"/>
  <c r="AB84" i="18"/>
  <c r="Z84" i="18"/>
  <c r="AE84" i="18" s="1"/>
  <c r="W78" i="18"/>
  <c r="X74" i="18"/>
  <c r="AB73" i="18"/>
  <c r="Z73" i="18"/>
  <c r="AE73" i="18" s="1"/>
  <c r="W67" i="18"/>
  <c r="X63" i="18"/>
  <c r="AB62" i="18"/>
  <c r="Z62" i="18"/>
  <c r="AC62" i="18" s="1"/>
  <c r="W56" i="18"/>
  <c r="X52" i="18"/>
  <c r="AB51" i="18"/>
  <c r="Z51" i="18"/>
  <c r="AA51" i="18" s="1"/>
  <c r="AD51" i="18" s="1"/>
  <c r="W45" i="18"/>
  <c r="X41" i="18"/>
  <c r="Z40" i="18"/>
  <c r="AA40" i="18" s="1"/>
  <c r="Z18" i="18"/>
  <c r="AE18" i="18" s="1"/>
  <c r="W23" i="18"/>
  <c r="X19" i="18"/>
  <c r="B86" i="18"/>
  <c r="B83" i="18"/>
  <c r="F43" i="18"/>
  <c r="R66" i="24" s="1"/>
  <c r="B51" i="18"/>
  <c r="B66" i="18" s="1"/>
  <c r="B50" i="18"/>
  <c r="B65" i="18" s="1"/>
  <c r="B49" i="18"/>
  <c r="B64" i="18" s="1"/>
  <c r="G77" i="18"/>
  <c r="Q106" i="24" s="1"/>
  <c r="G76" i="18"/>
  <c r="I104" i="24" s="1"/>
  <c r="B41" i="18"/>
  <c r="B40" i="18"/>
  <c r="B63" i="18" s="1"/>
  <c r="B39" i="18"/>
  <c r="B62" i="18" s="1"/>
  <c r="B38" i="18"/>
  <c r="B61" i="18" s="1"/>
  <c r="B37" i="18"/>
  <c r="B60" i="18" s="1"/>
  <c r="B36" i="18"/>
  <c r="B59" i="18" s="1"/>
  <c r="B52" i="18"/>
  <c r="G49" i="18"/>
  <c r="G50" i="18"/>
  <c r="Q54" i="24" s="1"/>
  <c r="G51" i="18"/>
  <c r="Q56" i="24" s="1"/>
  <c r="F53" i="18"/>
  <c r="F54" i="18"/>
  <c r="F55" i="18"/>
  <c r="G55" i="18" s="1"/>
  <c r="R80" i="24" s="1"/>
  <c r="B85" i="18"/>
  <c r="B84" i="18"/>
  <c r="B81" i="18"/>
  <c r="AG5" i="18"/>
  <c r="AE7" i="18"/>
  <c r="AC7" i="18"/>
  <c r="AA7" i="18"/>
  <c r="AD7" i="18" s="1"/>
  <c r="AB7" i="18"/>
  <c r="Q7" i="18"/>
  <c r="Q29" i="18" s="1"/>
  <c r="W12" i="18"/>
  <c r="X8" i="18"/>
  <c r="B90" i="18"/>
  <c r="B77" i="18"/>
  <c r="B76" i="18"/>
  <c r="G74" i="18"/>
  <c r="I100" i="24" s="1"/>
  <c r="G73" i="18"/>
  <c r="I98" i="24" s="1"/>
  <c r="G72" i="18"/>
  <c r="Q96" i="24" s="1"/>
  <c r="B74" i="18"/>
  <c r="B73" i="18"/>
  <c r="B72" i="18"/>
  <c r="G70" i="18"/>
  <c r="Q92" i="24" s="1"/>
  <c r="G69" i="18"/>
  <c r="I90" i="24" s="1"/>
  <c r="G68" i="18"/>
  <c r="I88" i="24" s="1"/>
  <c r="B70" i="18"/>
  <c r="B69" i="18"/>
  <c r="B68" i="18"/>
  <c r="F47" i="18"/>
  <c r="F45" i="18"/>
  <c r="R70" i="24" s="1"/>
  <c r="F44" i="18"/>
  <c r="G40" i="18"/>
  <c r="Q50" i="24" s="1"/>
  <c r="G37" i="18"/>
  <c r="Q44" i="24" s="1"/>
  <c r="G36" i="18"/>
  <c r="Q42" i="24" s="1"/>
  <c r="G18" i="18"/>
  <c r="AD20" i="24" s="1"/>
  <c r="G20" i="18"/>
  <c r="AD22" i="24" s="1"/>
  <c r="F11" i="18"/>
  <c r="H139" i="15"/>
  <c r="H129" i="15"/>
  <c r="H130" i="15"/>
  <c r="H131" i="15"/>
  <c r="H132" i="15"/>
  <c r="H133" i="15"/>
  <c r="H134" i="15"/>
  <c r="H135" i="15"/>
  <c r="H136" i="15"/>
  <c r="H137" i="15"/>
  <c r="H138" i="15"/>
  <c r="H128" i="15"/>
  <c r="F12" i="18"/>
  <c r="E13" i="23" s="1"/>
  <c r="AN15" i="15" s="1"/>
  <c r="F10" i="18"/>
  <c r="C14" i="23" s="1"/>
  <c r="N44" i="17"/>
  <c r="N43" i="17"/>
  <c r="N42" i="17"/>
  <c r="N41" i="17"/>
  <c r="N40" i="17"/>
  <c r="N39" i="17"/>
  <c r="N38" i="17"/>
  <c r="N37" i="17"/>
  <c r="N36" i="17"/>
  <c r="N35" i="17"/>
  <c r="N34" i="17"/>
  <c r="N33" i="17"/>
  <c r="N32" i="17"/>
  <c r="N31" i="17"/>
  <c r="N30" i="17"/>
  <c r="N29" i="17"/>
  <c r="N28" i="17"/>
  <c r="N27" i="17"/>
  <c r="N26" i="17"/>
  <c r="N25" i="17"/>
  <c r="N24" i="17"/>
  <c r="N23" i="17"/>
  <c r="N22" i="17"/>
  <c r="N21" i="17"/>
  <c r="N20" i="17"/>
  <c r="N19" i="17"/>
  <c r="N18" i="17"/>
  <c r="N17" i="17"/>
  <c r="N16" i="17"/>
  <c r="N15" i="17"/>
  <c r="N14" i="17"/>
  <c r="N13" i="17"/>
  <c r="N12" i="17"/>
  <c r="N11" i="17"/>
  <c r="N10" i="17"/>
  <c r="N9" i="17"/>
  <c r="N8" i="17"/>
  <c r="N7" i="17"/>
  <c r="N6" i="17"/>
  <c r="J11" i="16"/>
  <c r="J13" i="16"/>
  <c r="J15" i="16"/>
  <c r="J17" i="16"/>
  <c r="J19" i="16"/>
  <c r="J21" i="16"/>
  <c r="J23" i="16"/>
  <c r="J25" i="16"/>
  <c r="J27" i="16"/>
  <c r="J29" i="16"/>
  <c r="J31" i="16"/>
  <c r="AC46" i="16"/>
  <c r="AC47" i="16"/>
  <c r="AC48" i="16"/>
  <c r="AC49" i="16"/>
  <c r="AC50" i="16"/>
  <c r="AC51" i="16"/>
  <c r="AC52" i="16"/>
  <c r="AC53" i="16"/>
  <c r="AC54" i="16"/>
  <c r="AC55" i="16"/>
  <c r="AC56" i="16"/>
  <c r="AC57" i="16"/>
  <c r="AC128" i="18"/>
  <c r="F46" i="18"/>
  <c r="G46" i="18" s="1"/>
  <c r="Q51" i="18"/>
  <c r="Q139" i="18"/>
  <c r="Q106" i="18"/>
  <c r="Q18" i="18"/>
  <c r="Q73" i="18"/>
  <c r="Q62" i="18"/>
  <c r="Q128" i="18"/>
  <c r="AC29" i="18"/>
  <c r="AC40" i="18"/>
  <c r="AA106" i="18"/>
  <c r="AF106" i="18" s="1"/>
  <c r="AE62" i="18"/>
  <c r="I20" i="30"/>
  <c r="AH20" i="30" s="1"/>
  <c r="AH19" i="30"/>
  <c r="AE22" i="30"/>
  <c r="AI22" i="30"/>
  <c r="F19" i="30"/>
  <c r="AE19" i="30" s="1"/>
  <c r="B45" i="18"/>
  <c r="AF141" i="24"/>
  <c r="I66" i="24"/>
  <c r="B43" i="18"/>
  <c r="I33" i="23"/>
  <c r="J33" i="23" s="1"/>
  <c r="P36" i="23" s="1"/>
  <c r="O36" i="23" s="1"/>
  <c r="G53" i="18"/>
  <c r="AY53" i="15" s="1"/>
  <c r="M63" i="15"/>
  <c r="Q90" i="24"/>
  <c r="E110" i="18"/>
  <c r="E108" i="18"/>
  <c r="Q88" i="24"/>
  <c r="G71" i="18"/>
  <c r="P51" i="15" s="1"/>
  <c r="Q52" i="24"/>
  <c r="K73" i="15"/>
  <c r="R68" i="24"/>
  <c r="K110" i="17"/>
  <c r="I89" i="17"/>
  <c r="Q81" i="17"/>
  <c r="M110" i="17"/>
  <c r="O110" i="17"/>
  <c r="I103" i="17"/>
  <c r="M81" i="17"/>
  <c r="M89" i="17"/>
  <c r="R88" i="17" l="1"/>
  <c r="R163" i="17"/>
  <c r="I163" i="17"/>
  <c r="M163" i="17"/>
  <c r="Q163" i="17"/>
  <c r="K163" i="17"/>
  <c r="O163" i="17"/>
  <c r="O97" i="17"/>
  <c r="Q88" i="17"/>
  <c r="R97" i="17"/>
  <c r="M80" i="17"/>
  <c r="M104" i="17"/>
  <c r="K74" i="17"/>
  <c r="R9" i="18"/>
  <c r="R108" i="18" s="1"/>
  <c r="I106" i="24"/>
  <c r="I96" i="24"/>
  <c r="Q82" i="24"/>
  <c r="E58" i="18"/>
  <c r="F59" i="18" s="1"/>
  <c r="G59" i="18" s="1"/>
  <c r="R106" i="17"/>
  <c r="Q106" i="17"/>
  <c r="AW43" i="15"/>
  <c r="G13" i="18"/>
  <c r="T136" i="24" s="1"/>
  <c r="F107" i="18"/>
  <c r="N28" i="24"/>
  <c r="G90" i="18"/>
  <c r="Y143" i="24" s="1"/>
  <c r="Y21" i="24"/>
  <c r="B22" i="18"/>
  <c r="AC16" i="24"/>
  <c r="E35" i="15"/>
  <c r="H33" i="15" s="1"/>
  <c r="Q23" i="24"/>
  <c r="M114" i="17"/>
  <c r="R114" i="17"/>
  <c r="O113" i="17"/>
  <c r="R113" i="17"/>
  <c r="Q112" i="17"/>
  <c r="R112" i="17"/>
  <c r="Q162" i="17"/>
  <c r="M162" i="17"/>
  <c r="I162" i="17"/>
  <c r="R162" i="17"/>
  <c r="G9" i="18" s="1"/>
  <c r="E17" i="15" s="1"/>
  <c r="K15" i="15" s="1"/>
  <c r="O162" i="17"/>
  <c r="K162" i="17"/>
  <c r="I110" i="17"/>
  <c r="R110" i="17"/>
  <c r="O161" i="17"/>
  <c r="K161" i="17"/>
  <c r="Q161" i="17"/>
  <c r="R161" i="17"/>
  <c r="M161" i="17"/>
  <c r="I161" i="17"/>
  <c r="M160" i="17"/>
  <c r="R160" i="17"/>
  <c r="Q160" i="17"/>
  <c r="I160" i="17"/>
  <c r="O160" i="17"/>
  <c r="K160" i="17"/>
  <c r="Q108" i="17"/>
  <c r="R108" i="17"/>
  <c r="AI19" i="30"/>
  <c r="M91" i="17"/>
  <c r="M101" i="17"/>
  <c r="M92" i="17"/>
  <c r="I76" i="17"/>
  <c r="O105" i="17"/>
  <c r="K84" i="17"/>
  <c r="M108" i="17"/>
  <c r="M103" i="17"/>
  <c r="R92" i="17"/>
  <c r="O111" i="17"/>
  <c r="I84" i="17"/>
  <c r="M88" i="17"/>
  <c r="K76" i="17"/>
  <c r="R91" i="17"/>
  <c r="O108" i="17"/>
  <c r="K80" i="17"/>
  <c r="K88" i="17"/>
  <c r="R104" i="17"/>
  <c r="K104" i="17"/>
  <c r="O76" i="17"/>
  <c r="M78" i="17"/>
  <c r="I112" i="17"/>
  <c r="O112" i="17"/>
  <c r="M83" i="17"/>
  <c r="I101" i="17"/>
  <c r="I99" i="17"/>
  <c r="R76" i="17"/>
  <c r="O82" i="17"/>
  <c r="K99" i="17"/>
  <c r="M74" i="17"/>
  <c r="K82" i="17"/>
  <c r="R101" i="17"/>
  <c r="O109" i="17"/>
  <c r="R74" i="17"/>
  <c r="Q82" i="17"/>
  <c r="M82" i="17"/>
  <c r="I109" i="17"/>
  <c r="M73" i="17"/>
  <c r="M99" i="17"/>
  <c r="I90" i="17"/>
  <c r="R73" i="17"/>
  <c r="M105" i="17"/>
  <c r="R79" i="17"/>
  <c r="K112" i="17"/>
  <c r="O84" i="17"/>
  <c r="I74" i="17"/>
  <c r="R99" i="17"/>
  <c r="Q99" i="17"/>
  <c r="Q86" i="17"/>
  <c r="I86" i="17"/>
  <c r="I114" i="17"/>
  <c r="O95" i="17"/>
  <c r="M102" i="17"/>
  <c r="K78" i="17"/>
  <c r="I95" i="17"/>
  <c r="M93" i="17"/>
  <c r="R94" i="17"/>
  <c r="K95" i="17"/>
  <c r="K86" i="17"/>
  <c r="Q114" i="17"/>
  <c r="K114" i="17"/>
  <c r="M106" i="17"/>
  <c r="R86" i="17"/>
  <c r="R78" i="17"/>
  <c r="O85" i="17"/>
  <c r="K96" i="17"/>
  <c r="M95" i="17"/>
  <c r="K106" i="17"/>
  <c r="I78" i="17"/>
  <c r="O86" i="17"/>
  <c r="Q80" i="17"/>
  <c r="O98" i="17"/>
  <c r="K107" i="17"/>
  <c r="Q79" i="17"/>
  <c r="Q110" i="17"/>
  <c r="R90" i="17"/>
  <c r="O74" i="17"/>
  <c r="I82" i="17"/>
  <c r="Q85" i="17"/>
  <c r="R95" i="17"/>
  <c r="O106" i="17"/>
  <c r="R102" i="17"/>
  <c r="Q78" i="17"/>
  <c r="CG4" i="15"/>
  <c r="I105" i="17"/>
  <c r="O83" i="17"/>
  <c r="R96" i="17"/>
  <c r="M109" i="17"/>
  <c r="R105" i="17"/>
  <c r="I107" i="17"/>
  <c r="I83" i="17"/>
  <c r="O96" i="17"/>
  <c r="O88" i="17"/>
  <c r="K108" i="17"/>
  <c r="M113" i="17"/>
  <c r="M76" i="17"/>
  <c r="O80" i="17"/>
  <c r="M97" i="17"/>
  <c r="R80" i="17"/>
  <c r="Q109" i="17"/>
  <c r="I100" i="17"/>
  <c r="I113" i="17"/>
  <c r="M100" i="17"/>
  <c r="K75" i="17"/>
  <c r="Q87" i="17"/>
  <c r="M112" i="17"/>
  <c r="I104" i="17"/>
  <c r="M84" i="17"/>
  <c r="Q84" i="17"/>
  <c r="Q113" i="17"/>
  <c r="M75" i="17"/>
  <c r="O87" i="17"/>
  <c r="K113" i="17"/>
  <c r="Q100" i="17"/>
  <c r="K79" i="17"/>
  <c r="K97" i="17"/>
  <c r="Q101" i="17"/>
  <c r="O101" i="17"/>
  <c r="Q97" i="17"/>
  <c r="I108" i="17"/>
  <c r="BP3" i="15"/>
  <c r="AY4" i="15"/>
  <c r="G45" i="18"/>
  <c r="T70" i="24" s="1"/>
  <c r="R98" i="17"/>
  <c r="O89" i="17"/>
  <c r="I81" i="17"/>
  <c r="K93" i="17"/>
  <c r="R93" i="17"/>
  <c r="R85" i="17"/>
  <c r="O77" i="17"/>
  <c r="Q107" i="17"/>
  <c r="Q91" i="17"/>
  <c r="O103" i="17"/>
  <c r="K111" i="17"/>
  <c r="Q111" i="17"/>
  <c r="M107" i="17"/>
  <c r="M94" i="17"/>
  <c r="O81" i="17"/>
  <c r="O73" i="17"/>
  <c r="Q94" i="17"/>
  <c r="R77" i="17"/>
  <c r="Q102" i="17"/>
  <c r="AC139" i="18"/>
  <c r="AE95" i="18"/>
  <c r="G47" i="18"/>
  <c r="I74" i="24" s="1"/>
  <c r="Q98" i="17"/>
  <c r="O93" i="17"/>
  <c r="K77" i="17"/>
  <c r="O107" i="17"/>
  <c r="M111" i="17"/>
  <c r="K98" i="17"/>
  <c r="O102" i="17"/>
  <c r="Q73" i="17"/>
  <c r="I94" i="17"/>
  <c r="M77" i="17"/>
  <c r="I73" i="17"/>
  <c r="AE117" i="18"/>
  <c r="AC84" i="18"/>
  <c r="AA128" i="18"/>
  <c r="AF128" i="18" s="1"/>
  <c r="K89" i="17"/>
  <c r="I93" i="17"/>
  <c r="M85" i="17"/>
  <c r="R103" i="17"/>
  <c r="I111" i="17"/>
  <c r="I77" i="17"/>
  <c r="I98" i="17"/>
  <c r="G43" i="18"/>
  <c r="T66" i="24" s="1"/>
  <c r="R89" i="17"/>
  <c r="R81" i="17"/>
  <c r="O94" i="17"/>
  <c r="I85" i="17"/>
  <c r="K90" i="17"/>
  <c r="K102" i="17"/>
  <c r="Q90" i="17"/>
  <c r="I68" i="24"/>
  <c r="AA62" i="18"/>
  <c r="AD62" i="18" s="1"/>
  <c r="AC106" i="18"/>
  <c r="AD117" i="18"/>
  <c r="AF117" i="18"/>
  <c r="R74" i="24"/>
  <c r="Q98" i="24"/>
  <c r="AD106" i="18"/>
  <c r="AA139" i="18"/>
  <c r="AD139" i="18" s="1"/>
  <c r="AC117" i="18"/>
  <c r="AA95" i="18"/>
  <c r="AD95" i="18" s="1"/>
  <c r="AA84" i="18"/>
  <c r="AD84" i="18" s="1"/>
  <c r="AC73" i="18"/>
  <c r="AA73" i="18"/>
  <c r="D7" i="23"/>
  <c r="I91" i="17"/>
  <c r="G54" i="18"/>
  <c r="G52" i="18"/>
  <c r="AY26" i="15" s="1"/>
  <c r="AG20" i="30"/>
  <c r="G106" i="18"/>
  <c r="BU19" i="15" s="1"/>
  <c r="AD40" i="18"/>
  <c r="AF40" i="18"/>
  <c r="T72" i="24"/>
  <c r="AY49" i="15"/>
  <c r="K109" i="17"/>
  <c r="R100" i="17"/>
  <c r="O91" i="17"/>
  <c r="R83" i="17"/>
  <c r="K83" i="17"/>
  <c r="R75" i="17"/>
  <c r="M96" i="17"/>
  <c r="I87" i="17"/>
  <c r="K87" i="17"/>
  <c r="M79" i="17"/>
  <c r="R87" i="17"/>
  <c r="I75" i="17"/>
  <c r="R12" i="18"/>
  <c r="R67" i="18" s="1"/>
  <c r="T80" i="24"/>
  <c r="Q100" i="24"/>
  <c r="I76" i="24"/>
  <c r="L20" i="30"/>
  <c r="AI20" i="30" s="1"/>
  <c r="AE40" i="18"/>
  <c r="AF7" i="18"/>
  <c r="T74" i="24"/>
  <c r="AF139" i="18"/>
  <c r="G75" i="18"/>
  <c r="P53" i="15" s="1"/>
  <c r="AF19" i="30"/>
  <c r="AF95" i="18"/>
  <c r="AH5" i="18"/>
  <c r="G41" i="18"/>
  <c r="K100" i="17"/>
  <c r="Q75" i="17"/>
  <c r="I96" i="17"/>
  <c r="O79" i="17"/>
  <c r="M90" i="17"/>
  <c r="AY51" i="15"/>
  <c r="L12" i="18"/>
  <c r="L144" i="18" s="1"/>
  <c r="H79" i="15"/>
  <c r="L10" i="18"/>
  <c r="L131" i="18" s="1"/>
  <c r="W131" i="18" s="1"/>
  <c r="L9" i="18"/>
  <c r="L130" i="18" s="1"/>
  <c r="W130" i="18" s="1"/>
  <c r="G26" i="18"/>
  <c r="G12" i="18"/>
  <c r="I119" i="24" s="1"/>
  <c r="G108" i="18"/>
  <c r="BU73" i="15" s="1"/>
  <c r="G14" i="18"/>
  <c r="AB4" i="18" s="1"/>
  <c r="L11" i="18"/>
  <c r="L99" i="18" s="1"/>
  <c r="A166" i="18"/>
  <c r="G109" i="18"/>
  <c r="BU75" i="15" s="1"/>
  <c r="U83" i="30"/>
  <c r="Q103" i="17" s="1"/>
  <c r="T84" i="30"/>
  <c r="T78" i="24"/>
  <c r="G56" i="18"/>
  <c r="I78" i="24"/>
  <c r="R78" i="24"/>
  <c r="AY55" i="15"/>
  <c r="R22" i="18"/>
  <c r="R121" i="18"/>
  <c r="R77" i="18"/>
  <c r="R33" i="18"/>
  <c r="R88" i="18"/>
  <c r="R132" i="18"/>
  <c r="R66" i="18"/>
  <c r="R99" i="18"/>
  <c r="AJ139" i="24"/>
  <c r="R72" i="24"/>
  <c r="I80" i="24"/>
  <c r="AY60" i="15"/>
  <c r="R10" i="18"/>
  <c r="R76" i="24"/>
  <c r="M49" i="15"/>
  <c r="AD128" i="18"/>
  <c r="Q117" i="18"/>
  <c r="Q40" i="18"/>
  <c r="G44" i="18"/>
  <c r="AH22" i="30"/>
  <c r="I92" i="24"/>
  <c r="F20" i="30"/>
  <c r="I72" i="24"/>
  <c r="AY57" i="15"/>
  <c r="E29" i="15"/>
  <c r="BI23" i="15"/>
  <c r="T76" i="24"/>
  <c r="Q84" i="18"/>
  <c r="Q95" i="18"/>
  <c r="I92" i="17"/>
  <c r="I72" i="30"/>
  <c r="K92" i="17" s="1"/>
  <c r="K91" i="17"/>
  <c r="O123" i="17"/>
  <c r="K123" i="17"/>
  <c r="Q123" i="17"/>
  <c r="M123" i="17"/>
  <c r="I123" i="17"/>
  <c r="O121" i="17"/>
  <c r="K121" i="17"/>
  <c r="Q121" i="17"/>
  <c r="M121" i="17"/>
  <c r="I121" i="17"/>
  <c r="Q122" i="17"/>
  <c r="M122" i="17"/>
  <c r="I122" i="17"/>
  <c r="O122" i="17"/>
  <c r="K122" i="17"/>
  <c r="R143" i="18"/>
  <c r="R55" i="18"/>
  <c r="R44" i="18"/>
  <c r="R110" i="18"/>
  <c r="AF62" i="18"/>
  <c r="AF51" i="18"/>
  <c r="G11" i="18"/>
  <c r="AE29" i="18"/>
  <c r="AA29" i="18"/>
  <c r="K116" i="17"/>
  <c r="Q104" i="24"/>
  <c r="AA18" i="18"/>
  <c r="AC18" i="18"/>
  <c r="AE51" i="18"/>
  <c r="AC51" i="18"/>
  <c r="AD18" i="30"/>
  <c r="AC18" i="30"/>
  <c r="I117" i="17"/>
  <c r="O115" i="17"/>
  <c r="E9" i="15"/>
  <c r="Q92" i="17"/>
  <c r="G27" i="18"/>
  <c r="G25" i="18"/>
  <c r="AD9" i="18"/>
  <c r="AD20" i="18" s="1"/>
  <c r="AC9" i="18"/>
  <c r="AC11" i="18" s="1"/>
  <c r="AC88" i="18" s="1"/>
  <c r="A167" i="18"/>
  <c r="G10" i="18"/>
  <c r="H16" i="24" s="1"/>
  <c r="I115" i="17"/>
  <c r="M115" i="17"/>
  <c r="Q115" i="17"/>
  <c r="O117" i="17"/>
  <c r="K117" i="17"/>
  <c r="Q116" i="17"/>
  <c r="M116" i="17"/>
  <c r="I116" i="17"/>
  <c r="O120" i="17"/>
  <c r="K120" i="17"/>
  <c r="Q120" i="17"/>
  <c r="M120" i="17"/>
  <c r="I120" i="17"/>
  <c r="Q119" i="17"/>
  <c r="M119" i="17"/>
  <c r="I119" i="17"/>
  <c r="O119" i="17"/>
  <c r="K119" i="17"/>
  <c r="O118" i="17"/>
  <c r="Q12" i="18" s="1"/>
  <c r="Q111" i="18" s="1"/>
  <c r="K118" i="17"/>
  <c r="Q10" i="18" s="1"/>
  <c r="Q87" i="18" s="1"/>
  <c r="Q118" i="17"/>
  <c r="M118" i="17"/>
  <c r="I118" i="17"/>
  <c r="K115" i="17"/>
  <c r="Q117" i="17"/>
  <c r="M117" i="17"/>
  <c r="O116" i="17"/>
  <c r="AB10" i="18"/>
  <c r="R7" i="18" l="1"/>
  <c r="R128" i="18" s="1"/>
  <c r="Q11" i="18"/>
  <c r="Q33" i="18" s="1"/>
  <c r="R119" i="18"/>
  <c r="R141" i="18"/>
  <c r="R130" i="18"/>
  <c r="R20" i="18"/>
  <c r="R42" i="18"/>
  <c r="R97" i="18"/>
  <c r="R53" i="18"/>
  <c r="R75" i="18"/>
  <c r="R31" i="18"/>
  <c r="R86" i="18"/>
  <c r="R64" i="18"/>
  <c r="R89" i="18"/>
  <c r="R34" i="18"/>
  <c r="R111" i="18"/>
  <c r="AY68" i="15"/>
  <c r="G101" i="18"/>
  <c r="CW65" i="15" s="1"/>
  <c r="F61" i="18"/>
  <c r="G61" i="18" s="1"/>
  <c r="F63" i="18"/>
  <c r="G63" i="18" s="1"/>
  <c r="F66" i="18"/>
  <c r="G66" i="18" s="1"/>
  <c r="F65" i="18"/>
  <c r="G65" i="18" s="1"/>
  <c r="F60" i="18"/>
  <c r="G60" i="18" s="1"/>
  <c r="F64" i="18"/>
  <c r="G64" i="18" s="1"/>
  <c r="F62" i="18"/>
  <c r="G62" i="18" s="1"/>
  <c r="E14" i="23"/>
  <c r="AB5" i="18"/>
  <c r="B13" i="18"/>
  <c r="AA5" i="18" s="1"/>
  <c r="I131" i="24"/>
  <c r="K110" i="24"/>
  <c r="BG51" i="15"/>
  <c r="AI7" i="18"/>
  <c r="AI51" i="18" s="1"/>
  <c r="G111" i="18"/>
  <c r="G110" i="18" s="1"/>
  <c r="BU77" i="15" s="1"/>
  <c r="AN35" i="15"/>
  <c r="AN37" i="15" s="1"/>
  <c r="BF53" i="15" s="1"/>
  <c r="G92" i="18"/>
  <c r="BO41" i="15" s="1"/>
  <c r="B82" i="18"/>
  <c r="M134" i="24"/>
  <c r="B101" i="18"/>
  <c r="Y141" i="24"/>
  <c r="I134" i="24"/>
  <c r="CN65" i="15"/>
  <c r="BN39" i="15"/>
  <c r="BF49" i="15"/>
  <c r="U7" i="18"/>
  <c r="U117" i="18" s="1"/>
  <c r="R120" i="24"/>
  <c r="R100" i="18"/>
  <c r="I141" i="24"/>
  <c r="BU17" i="15"/>
  <c r="B107" i="18"/>
  <c r="AY43" i="15"/>
  <c r="G93" i="18"/>
  <c r="S131" i="24" s="1"/>
  <c r="O25" i="15"/>
  <c r="L132" i="18"/>
  <c r="L33" i="18"/>
  <c r="AJ20" i="30"/>
  <c r="P41" i="15"/>
  <c r="AY47" i="15"/>
  <c r="AF84" i="18"/>
  <c r="L119" i="18"/>
  <c r="W119" i="18" s="1"/>
  <c r="L78" i="18"/>
  <c r="L23" i="18"/>
  <c r="L89" i="18"/>
  <c r="L22" i="18"/>
  <c r="L111" i="18"/>
  <c r="L77" i="18"/>
  <c r="L133" i="18"/>
  <c r="L44" i="18"/>
  <c r="L121" i="18"/>
  <c r="L122" i="18"/>
  <c r="L56" i="18"/>
  <c r="L67" i="18"/>
  <c r="L45" i="18"/>
  <c r="L34" i="18"/>
  <c r="L141" i="18"/>
  <c r="W141" i="18" s="1"/>
  <c r="L88" i="18"/>
  <c r="L66" i="18"/>
  <c r="L143" i="18"/>
  <c r="W10" i="18"/>
  <c r="L65" i="18"/>
  <c r="W65" i="18" s="1"/>
  <c r="L87" i="18"/>
  <c r="W87" i="18" s="1"/>
  <c r="L76" i="18"/>
  <c r="W76" i="18" s="1"/>
  <c r="L54" i="18"/>
  <c r="W54" i="18" s="1"/>
  <c r="L21" i="18"/>
  <c r="W21" i="18" s="1"/>
  <c r="L120" i="18"/>
  <c r="W120" i="18" s="1"/>
  <c r="L31" i="18"/>
  <c r="W31" i="18" s="1"/>
  <c r="BH41" i="15"/>
  <c r="L42" i="18"/>
  <c r="W42" i="18" s="1"/>
  <c r="L53" i="18"/>
  <c r="W53" i="18" s="1"/>
  <c r="L20" i="18"/>
  <c r="W20" i="18" s="1"/>
  <c r="L75" i="18"/>
  <c r="W75" i="18" s="1"/>
  <c r="K122" i="24"/>
  <c r="L97" i="18"/>
  <c r="W97" i="18" s="1"/>
  <c r="L110" i="18"/>
  <c r="L55" i="18"/>
  <c r="L100" i="18"/>
  <c r="L32" i="18"/>
  <c r="W32" i="18" s="1"/>
  <c r="L108" i="18"/>
  <c r="W108" i="18" s="1"/>
  <c r="W9" i="18"/>
  <c r="L86" i="18"/>
  <c r="W86" i="18" s="1"/>
  <c r="Q21" i="24"/>
  <c r="AD73" i="18"/>
  <c r="AF73" i="18"/>
  <c r="L43" i="18"/>
  <c r="W43" i="18" s="1"/>
  <c r="L142" i="18"/>
  <c r="W142" i="18" s="1"/>
  <c r="L109" i="18"/>
  <c r="W109" i="18" s="1"/>
  <c r="AY14" i="15"/>
  <c r="P39" i="15"/>
  <c r="G57" i="18"/>
  <c r="R56" i="18"/>
  <c r="R45" i="18"/>
  <c r="R23" i="18"/>
  <c r="R122" i="18"/>
  <c r="R144" i="18"/>
  <c r="R133" i="18"/>
  <c r="R78" i="18"/>
  <c r="P21" i="15"/>
  <c r="D8" i="23"/>
  <c r="L64" i="18"/>
  <c r="W64" i="18" s="1"/>
  <c r="L98" i="18"/>
  <c r="W98" i="18" s="1"/>
  <c r="AY45" i="15"/>
  <c r="G48" i="18"/>
  <c r="P47" i="15" s="1"/>
  <c r="T68" i="24"/>
  <c r="AE20" i="30"/>
  <c r="AF20" i="30"/>
  <c r="R43" i="18"/>
  <c r="R142" i="18"/>
  <c r="R98" i="18"/>
  <c r="R120" i="18"/>
  <c r="R87" i="18"/>
  <c r="R54" i="18"/>
  <c r="R65" i="18"/>
  <c r="R21" i="18"/>
  <c r="R32" i="18"/>
  <c r="R76" i="18"/>
  <c r="R109" i="18"/>
  <c r="R131" i="18"/>
  <c r="T85" i="30"/>
  <c r="U85" i="30" s="1"/>
  <c r="Q105" i="17" s="1"/>
  <c r="U84" i="30"/>
  <c r="Q104" i="17" s="1"/>
  <c r="AC121" i="18"/>
  <c r="G117" i="15"/>
  <c r="H117" i="15" s="1"/>
  <c r="K11" i="15"/>
  <c r="AC77" i="18"/>
  <c r="AC55" i="18"/>
  <c r="AC44" i="18"/>
  <c r="AC141" i="18"/>
  <c r="AC33" i="18"/>
  <c r="AC66" i="18"/>
  <c r="AC143" i="18"/>
  <c r="AC99" i="18"/>
  <c r="AC10" i="18"/>
  <c r="AC120" i="18" s="1"/>
  <c r="AD130" i="18"/>
  <c r="Q76" i="18"/>
  <c r="Q142" i="18"/>
  <c r="AD141" i="18"/>
  <c r="Q23" i="18"/>
  <c r="Q32" i="18"/>
  <c r="Q43" i="18"/>
  <c r="AD31" i="18"/>
  <c r="AD86" i="18"/>
  <c r="AC31" i="18"/>
  <c r="Q122" i="18"/>
  <c r="AC42" i="18"/>
  <c r="AC20" i="18"/>
  <c r="AC75" i="18"/>
  <c r="AC110" i="18"/>
  <c r="AC132" i="18"/>
  <c r="AC22" i="18"/>
  <c r="AC130" i="18"/>
  <c r="AC108" i="18"/>
  <c r="AC119" i="18"/>
  <c r="AC53" i="18"/>
  <c r="AC64" i="18"/>
  <c r="AC86" i="18"/>
  <c r="Q67" i="18"/>
  <c r="AC97" i="18"/>
  <c r="Q65" i="18"/>
  <c r="Q131" i="18"/>
  <c r="Q54" i="18"/>
  <c r="Q120" i="18"/>
  <c r="Q21" i="18"/>
  <c r="Q98" i="18"/>
  <c r="AD119" i="18"/>
  <c r="AD75" i="18"/>
  <c r="AD11" i="18"/>
  <c r="AD97" i="18"/>
  <c r="AD53" i="18"/>
  <c r="AD42" i="18"/>
  <c r="AD18" i="18"/>
  <c r="AF18" i="18"/>
  <c r="AF29" i="18"/>
  <c r="AD29" i="18"/>
  <c r="D5" i="23"/>
  <c r="D5" i="22"/>
  <c r="Q19" i="24"/>
  <c r="P19" i="15"/>
  <c r="B64" i="16" s="1"/>
  <c r="Q109" i="18"/>
  <c r="AD10" i="18"/>
  <c r="AD108" i="18"/>
  <c r="AD64" i="18"/>
  <c r="L8" i="18"/>
  <c r="P17" i="15"/>
  <c r="AB9" i="18"/>
  <c r="Q9" i="18"/>
  <c r="Q100" i="18"/>
  <c r="Q133" i="18"/>
  <c r="Q45" i="18"/>
  <c r="Q89" i="18"/>
  <c r="Q34" i="18"/>
  <c r="Q144" i="18"/>
  <c r="Q56" i="18"/>
  <c r="Q78" i="18"/>
  <c r="AB11" i="18"/>
  <c r="AB43" i="18"/>
  <c r="AB131" i="18"/>
  <c r="AB32" i="18"/>
  <c r="AB98" i="18"/>
  <c r="AB142" i="18"/>
  <c r="AB87" i="18"/>
  <c r="AB21" i="18"/>
  <c r="AB54" i="18"/>
  <c r="AB76" i="18"/>
  <c r="AB109" i="18"/>
  <c r="AB120" i="18"/>
  <c r="AB65" i="18"/>
  <c r="R117" i="18" l="1"/>
  <c r="R62" i="18"/>
  <c r="R73" i="18"/>
  <c r="R29" i="18"/>
  <c r="R106" i="18"/>
  <c r="R51" i="18"/>
  <c r="R40" i="18"/>
  <c r="R18" i="18"/>
  <c r="R84" i="18"/>
  <c r="R95" i="18"/>
  <c r="R139" i="18"/>
  <c r="Q22" i="18"/>
  <c r="Q44" i="18"/>
  <c r="Q88" i="18"/>
  <c r="Q110" i="18"/>
  <c r="Q55" i="18"/>
  <c r="Q143" i="18"/>
  <c r="Q121" i="18"/>
  <c r="Q99" i="18"/>
  <c r="Q66" i="18"/>
  <c r="Q77" i="18"/>
  <c r="Q132" i="18"/>
  <c r="AJ141" i="24"/>
  <c r="G102" i="18"/>
  <c r="AJ143" i="24" s="1"/>
  <c r="AI18" i="18"/>
  <c r="S7" i="18"/>
  <c r="S51" i="18" s="1"/>
  <c r="AI95" i="18"/>
  <c r="AI84" i="18"/>
  <c r="AI62" i="18"/>
  <c r="AI139" i="18"/>
  <c r="G58" i="18"/>
  <c r="AY59" i="15" s="1"/>
  <c r="AI128" i="18"/>
  <c r="AI73" i="18"/>
  <c r="AI117" i="18"/>
  <c r="AI29" i="18"/>
  <c r="AI106" i="18"/>
  <c r="AI40" i="18"/>
  <c r="H71" i="15"/>
  <c r="K75" i="15"/>
  <c r="AG7" i="18"/>
  <c r="AG73" i="18" s="1"/>
  <c r="BD35" i="15"/>
  <c r="S120" i="24"/>
  <c r="U62" i="18"/>
  <c r="U73" i="18"/>
  <c r="U95" i="18"/>
  <c r="U40" i="18"/>
  <c r="U106" i="18"/>
  <c r="U51" i="18"/>
  <c r="U84" i="18"/>
  <c r="U128" i="18"/>
  <c r="U29" i="18"/>
  <c r="U18" i="18"/>
  <c r="U139" i="18"/>
  <c r="T7" i="18"/>
  <c r="T117" i="18" s="1"/>
  <c r="BD45" i="15"/>
  <c r="BO49" i="15"/>
  <c r="I118" i="24"/>
  <c r="S139" i="18"/>
  <c r="AC21" i="18"/>
  <c r="AC76" i="18"/>
  <c r="AC54" i="18"/>
  <c r="AC109" i="18"/>
  <c r="AX11" i="15"/>
  <c r="I73" i="18"/>
  <c r="AW71" i="15" s="1"/>
  <c r="P37" i="15"/>
  <c r="I77" i="18"/>
  <c r="AW79" i="15" s="1"/>
  <c r="R38" i="24"/>
  <c r="G6" i="18"/>
  <c r="A176" i="18" s="1"/>
  <c r="B176" i="18" s="1"/>
  <c r="AC131" i="18"/>
  <c r="AC43" i="18"/>
  <c r="AC87" i="18"/>
  <c r="AC65" i="18"/>
  <c r="AC32" i="18"/>
  <c r="AC98" i="18"/>
  <c r="AC142" i="18"/>
  <c r="AD22" i="18"/>
  <c r="AD132" i="18"/>
  <c r="AD121" i="18"/>
  <c r="AD77" i="18"/>
  <c r="AD143" i="18"/>
  <c r="AD33" i="18"/>
  <c r="AD110" i="18"/>
  <c r="AD99" i="18"/>
  <c r="AD44" i="18"/>
  <c r="AD66" i="18"/>
  <c r="AD55" i="18"/>
  <c r="AD88" i="18"/>
  <c r="M82" i="16"/>
  <c r="I82" i="16"/>
  <c r="S82" i="16"/>
  <c r="B59" i="16"/>
  <c r="AA82" i="16"/>
  <c r="W82" i="16"/>
  <c r="Q82" i="16"/>
  <c r="G82" i="16"/>
  <c r="O82" i="16"/>
  <c r="Y82" i="16"/>
  <c r="E82" i="16"/>
  <c r="B83" i="16"/>
  <c r="U82" i="16"/>
  <c r="K82" i="16"/>
  <c r="L107" i="18"/>
  <c r="L63" i="18"/>
  <c r="L74" i="18"/>
  <c r="L30" i="18"/>
  <c r="L85" i="18"/>
  <c r="L140" i="18"/>
  <c r="L52" i="18"/>
  <c r="L19" i="18"/>
  <c r="L118" i="18"/>
  <c r="L96" i="18"/>
  <c r="L129" i="18"/>
  <c r="L41" i="18"/>
  <c r="AD98" i="18"/>
  <c r="AD131" i="18"/>
  <c r="AD21" i="18"/>
  <c r="AD142" i="18"/>
  <c r="AD54" i="18"/>
  <c r="AD32" i="18"/>
  <c r="AD120" i="18"/>
  <c r="AD76" i="18"/>
  <c r="AD109" i="18"/>
  <c r="AD43" i="18"/>
  <c r="AD65" i="18"/>
  <c r="AD87" i="18"/>
  <c r="Q119" i="18"/>
  <c r="Q42" i="18"/>
  <c r="Q75" i="18"/>
  <c r="Q141" i="18"/>
  <c r="Q31" i="18"/>
  <c r="Q97" i="18"/>
  <c r="Q86" i="18"/>
  <c r="Q108" i="18"/>
  <c r="Q20" i="18"/>
  <c r="Q130" i="18"/>
  <c r="Q53" i="18"/>
  <c r="Q64" i="18"/>
  <c r="AB55" i="18"/>
  <c r="AB110" i="18"/>
  <c r="AB66" i="18"/>
  <c r="AB143" i="18"/>
  <c r="AB99" i="18"/>
  <c r="AB22" i="18"/>
  <c r="AB44" i="18"/>
  <c r="AB132" i="18"/>
  <c r="AB33" i="18"/>
  <c r="AB77" i="18"/>
  <c r="AB88" i="18"/>
  <c r="AB121" i="18"/>
  <c r="AB75" i="18"/>
  <c r="AB53" i="18"/>
  <c r="AB20" i="18"/>
  <c r="AB130" i="18"/>
  <c r="AB42" i="18"/>
  <c r="AB108" i="18"/>
  <c r="AB141" i="18"/>
  <c r="AB86" i="18"/>
  <c r="AB31" i="18"/>
  <c r="AB97" i="18"/>
  <c r="AB119" i="18"/>
  <c r="AB64" i="18"/>
  <c r="AB29" i="18" l="1"/>
  <c r="AB18" i="18"/>
  <c r="AG62" i="18"/>
  <c r="S117" i="18"/>
  <c r="CV67" i="15"/>
  <c r="S95" i="18"/>
  <c r="AG106" i="18"/>
  <c r="S62" i="18"/>
  <c r="AG18" i="18"/>
  <c r="AG51" i="18"/>
  <c r="AG117" i="18"/>
  <c r="AG84" i="18"/>
  <c r="AG95" i="18"/>
  <c r="S73" i="18"/>
  <c r="S40" i="18"/>
  <c r="S106" i="18"/>
  <c r="S128" i="18"/>
  <c r="S84" i="18"/>
  <c r="AG128" i="18"/>
  <c r="S18" i="18"/>
  <c r="AG29" i="18"/>
  <c r="S29" i="18"/>
  <c r="T82" i="24"/>
  <c r="P49" i="15"/>
  <c r="G67" i="18"/>
  <c r="AY40" i="15" s="1"/>
  <c r="AG40" i="18"/>
  <c r="AG139" i="18"/>
  <c r="T73" i="18"/>
  <c r="T51" i="18"/>
  <c r="T29" i="18"/>
  <c r="T84" i="18"/>
  <c r="T40" i="18"/>
  <c r="T128" i="18"/>
  <c r="T95" i="18"/>
  <c r="T106" i="18"/>
  <c r="T62" i="18"/>
  <c r="T18" i="18"/>
  <c r="T139" i="18"/>
  <c r="A161" i="18"/>
  <c r="B161" i="18" s="1"/>
  <c r="G107" i="18"/>
  <c r="BU21" i="15" s="1"/>
  <c r="A160" i="18"/>
  <c r="AE65" i="18"/>
  <c r="AF54" i="18"/>
  <c r="D6" i="23"/>
  <c r="E12" i="23" s="1"/>
  <c r="O37" i="23" s="1"/>
  <c r="AF21" i="18"/>
  <c r="AF119" i="18"/>
  <c r="AF131" i="18"/>
  <c r="N11" i="18"/>
  <c r="N77" i="18" s="1"/>
  <c r="X77" i="18" s="1"/>
  <c r="A163" i="18"/>
  <c r="B163" i="18" s="1"/>
  <c r="D6" i="22"/>
  <c r="A178" i="18"/>
  <c r="B178" i="18" s="1"/>
  <c r="AE43" i="18"/>
  <c r="AE120" i="18"/>
  <c r="AF87" i="18"/>
  <c r="G4" i="18"/>
  <c r="E11" i="15" s="1"/>
  <c r="X53" i="15" s="1"/>
  <c r="Z64" i="24" s="1"/>
  <c r="AF10" i="18"/>
  <c r="A162" i="18"/>
  <c r="A157" i="18"/>
  <c r="B157" i="18" s="1"/>
  <c r="Q16" i="24"/>
  <c r="A164" i="18"/>
  <c r="F171" i="18"/>
  <c r="AF142" i="18"/>
  <c r="AF99" i="18"/>
  <c r="AF109" i="18"/>
  <c r="AE9" i="18"/>
  <c r="AF32" i="18"/>
  <c r="AE98" i="18"/>
  <c r="A156" i="18"/>
  <c r="N10" i="18"/>
  <c r="N131" i="18" s="1"/>
  <c r="X131" i="18" s="1"/>
  <c r="E13" i="15"/>
  <c r="E25" i="15" s="1"/>
  <c r="F13" i="24" s="1"/>
  <c r="A165" i="18"/>
  <c r="B165" i="18" s="1"/>
  <c r="AE108" i="18"/>
  <c r="AE64" i="18"/>
  <c r="AE97" i="18"/>
  <c r="AF86" i="18"/>
  <c r="AF108" i="18"/>
  <c r="AF130" i="18"/>
  <c r="AE53" i="18"/>
  <c r="AE121" i="18"/>
  <c r="AF22" i="18"/>
  <c r="AE143" i="18"/>
  <c r="AF110" i="18"/>
  <c r="AF43" i="18"/>
  <c r="AF76" i="18"/>
  <c r="AE76" i="18"/>
  <c r="AE21" i="18"/>
  <c r="AF120" i="18"/>
  <c r="AE131" i="18"/>
  <c r="AE87" i="18"/>
  <c r="AE54" i="18"/>
  <c r="AE109" i="18"/>
  <c r="AE11" i="18"/>
  <c r="AE22" i="18"/>
  <c r="AF88" i="18"/>
  <c r="AE77" i="18"/>
  <c r="AF20" i="18"/>
  <c r="AE10" i="18"/>
  <c r="A158" i="18"/>
  <c r="AF66" i="18"/>
  <c r="F173" i="18"/>
  <c r="AE110" i="18"/>
  <c r="AF9" i="18"/>
  <c r="AF44" i="18"/>
  <c r="AE142" i="18"/>
  <c r="AE66" i="18"/>
  <c r="AF11" i="18"/>
  <c r="N12" i="18"/>
  <c r="N78" i="18" s="1"/>
  <c r="O38" i="24"/>
  <c r="AU11" i="15"/>
  <c r="G42" i="18"/>
  <c r="AV14" i="15" s="1"/>
  <c r="O13" i="15"/>
  <c r="N9" i="18"/>
  <c r="X9" i="18" s="1"/>
  <c r="G19" i="18"/>
  <c r="G28" i="18"/>
  <c r="AE32" i="18"/>
  <c r="AE119" i="18"/>
  <c r="AF31" i="18"/>
  <c r="AF141" i="18"/>
  <c r="AF42" i="18"/>
  <c r="AE20" i="18"/>
  <c r="AF75" i="18"/>
  <c r="AE88" i="18"/>
  <c r="AF33" i="18"/>
  <c r="AE44" i="18"/>
  <c r="AE99" i="18"/>
  <c r="AE55" i="18"/>
  <c r="AF65" i="18"/>
  <c r="AF98" i="18"/>
  <c r="A159" i="18"/>
  <c r="B159" i="18" s="1"/>
  <c r="AE33" i="18"/>
  <c r="AF77" i="18"/>
  <c r="AF132" i="18"/>
  <c r="AF53" i="18"/>
  <c r="AF143" i="18"/>
  <c r="AF55" i="18"/>
  <c r="AF97" i="18"/>
  <c r="AE132" i="18"/>
  <c r="AF121" i="18"/>
  <c r="AF64" i="18"/>
  <c r="AE86" i="18"/>
  <c r="AE130" i="18"/>
  <c r="F16" i="16"/>
  <c r="J16" i="16" s="1"/>
  <c r="K83" i="16"/>
  <c r="K84" i="16" s="1"/>
  <c r="Y83" i="16"/>
  <c r="Y84" i="16" s="1"/>
  <c r="F30" i="16"/>
  <c r="J30" i="16" s="1"/>
  <c r="F12" i="16"/>
  <c r="J12" i="16" s="1"/>
  <c r="G83" i="16"/>
  <c r="G84" i="16" s="1"/>
  <c r="W83" i="16"/>
  <c r="W84" i="16" s="1"/>
  <c r="F28" i="16"/>
  <c r="J28" i="16" s="1"/>
  <c r="I83" i="16"/>
  <c r="I84" i="16" s="1"/>
  <c r="F14" i="16"/>
  <c r="J14" i="16" s="1"/>
  <c r="U83" i="16"/>
  <c r="U84" i="16" s="1"/>
  <c r="F26" i="16"/>
  <c r="J26" i="16" s="1"/>
  <c r="F10" i="16"/>
  <c r="J10" i="16" s="1"/>
  <c r="AC82" i="16"/>
  <c r="F35" i="16" s="1"/>
  <c r="E83" i="16"/>
  <c r="O83" i="16"/>
  <c r="O84" i="16" s="1"/>
  <c r="F20" i="16"/>
  <c r="J20" i="16" s="1"/>
  <c r="Q83" i="16"/>
  <c r="Q84" i="16" s="1"/>
  <c r="F22" i="16"/>
  <c r="J22" i="16" s="1"/>
  <c r="AA83" i="16"/>
  <c r="AA84" i="16" s="1"/>
  <c r="F32" i="16"/>
  <c r="J32" i="16" s="1"/>
  <c r="S83" i="16"/>
  <c r="S84" i="16" s="1"/>
  <c r="F24" i="16"/>
  <c r="J24" i="16" s="1"/>
  <c r="F18" i="16"/>
  <c r="J18" i="16" s="1"/>
  <c r="M83" i="16"/>
  <c r="M84" i="16" s="1"/>
  <c r="AE141" i="18"/>
  <c r="AE31" i="18"/>
  <c r="AE42" i="18"/>
  <c r="AE75" i="18"/>
  <c r="BV31" i="15" l="1"/>
  <c r="BV29" i="15"/>
  <c r="AN13" i="15"/>
  <c r="BV37" i="15"/>
  <c r="BV19" i="15"/>
  <c r="F8" i="18"/>
  <c r="G8" i="18" s="1"/>
  <c r="F7" i="18"/>
  <c r="G7" i="18" s="1"/>
  <c r="BV65" i="15"/>
  <c r="X11" i="18"/>
  <c r="N111" i="18"/>
  <c r="BV39" i="15"/>
  <c r="BW47" i="15"/>
  <c r="B155" i="18"/>
  <c r="G17" i="18" s="1"/>
  <c r="N88" i="18"/>
  <c r="X88" i="18" s="1"/>
  <c r="N143" i="18"/>
  <c r="X143" i="18" s="1"/>
  <c r="N99" i="18"/>
  <c r="X99" i="18" s="1"/>
  <c r="N110" i="18"/>
  <c r="X110" i="18" s="1"/>
  <c r="E13" i="24"/>
  <c r="N109" i="18"/>
  <c r="X109" i="18" s="1"/>
  <c r="N55" i="18"/>
  <c r="X55" i="18" s="1"/>
  <c r="X51" i="15"/>
  <c r="Z62" i="24" s="1"/>
  <c r="N22" i="18"/>
  <c r="X22" i="18" s="1"/>
  <c r="N33" i="18"/>
  <c r="X33" i="18" s="1"/>
  <c r="M39" i="15"/>
  <c r="N132" i="18"/>
  <c r="X132" i="18" s="1"/>
  <c r="A155" i="18"/>
  <c r="G15" i="18" s="1"/>
  <c r="B16" i="18" s="1"/>
  <c r="W62" i="15" s="1"/>
  <c r="BV33" i="15"/>
  <c r="W49" i="15"/>
  <c r="Y60" i="24" s="1"/>
  <c r="BV47" i="15"/>
  <c r="BV71" i="15"/>
  <c r="X49" i="15"/>
  <c r="Z60" i="24" s="1"/>
  <c r="N43" i="18"/>
  <c r="X43" i="18" s="1"/>
  <c r="BV63" i="15"/>
  <c r="N100" i="18"/>
  <c r="BV23" i="15"/>
  <c r="X55" i="15"/>
  <c r="Z66" i="24" s="1"/>
  <c r="N32" i="18"/>
  <c r="X32" i="18" s="1"/>
  <c r="W15" i="15"/>
  <c r="Y26" i="24" s="1"/>
  <c r="Z17" i="15"/>
  <c r="AB28" i="24" s="1"/>
  <c r="BV49" i="15"/>
  <c r="BV51" i="15"/>
  <c r="BV61" i="15"/>
  <c r="BV55" i="15"/>
  <c r="CA75" i="15"/>
  <c r="N65" i="18"/>
  <c r="X65" i="18" s="1"/>
  <c r="BW43" i="15"/>
  <c r="N120" i="18"/>
  <c r="X120" i="18" s="1"/>
  <c r="N121" i="18"/>
  <c r="X121" i="18" s="1"/>
  <c r="N44" i="18"/>
  <c r="X44" i="18" s="1"/>
  <c r="N67" i="18"/>
  <c r="BV27" i="15"/>
  <c r="BV53" i="15"/>
  <c r="N76" i="18"/>
  <c r="X76" i="18" s="1"/>
  <c r="BW81" i="15"/>
  <c r="BW79" i="15"/>
  <c r="BV75" i="15"/>
  <c r="N66" i="18"/>
  <c r="X66" i="18" s="1"/>
  <c r="BW77" i="15"/>
  <c r="BV69" i="15"/>
  <c r="BV40" i="15"/>
  <c r="BV21" i="15"/>
  <c r="N21" i="18"/>
  <c r="X21" i="18" s="1"/>
  <c r="N53" i="18"/>
  <c r="X53" i="18" s="1"/>
  <c r="CE69" i="15"/>
  <c r="G112" i="18" s="1"/>
  <c r="F110" i="18" s="1"/>
  <c r="CE77" i="15" s="1"/>
  <c r="N54" i="18"/>
  <c r="X54" i="18" s="1"/>
  <c r="N142" i="18"/>
  <c r="X142" i="18" s="1"/>
  <c r="X10" i="18"/>
  <c r="N13" i="18"/>
  <c r="X12" i="18" s="1"/>
  <c r="G5" i="18"/>
  <c r="BW41" i="15"/>
  <c r="N98" i="18"/>
  <c r="X98" i="18" s="1"/>
  <c r="BV57" i="15"/>
  <c r="BW45" i="15"/>
  <c r="N23" i="18"/>
  <c r="N144" i="18"/>
  <c r="N89" i="18"/>
  <c r="N133" i="18"/>
  <c r="N87" i="18"/>
  <c r="X87" i="18" s="1"/>
  <c r="BV59" i="15"/>
  <c r="N45" i="18"/>
  <c r="N75" i="18"/>
  <c r="X75" i="18" s="1"/>
  <c r="BY53" i="15"/>
  <c r="N34" i="18"/>
  <c r="N122" i="18"/>
  <c r="N56" i="18"/>
  <c r="N141" i="18"/>
  <c r="N97" i="18"/>
  <c r="X97" i="18" s="1"/>
  <c r="N108" i="18"/>
  <c r="X108" i="18" s="1"/>
  <c r="AI19" i="24"/>
  <c r="P27" i="15"/>
  <c r="G22" i="18"/>
  <c r="D9" i="23"/>
  <c r="G33" i="18"/>
  <c r="N119" i="18"/>
  <c r="X119" i="18" s="1"/>
  <c r="N130" i="18"/>
  <c r="X130" i="18" s="1"/>
  <c r="N86" i="18"/>
  <c r="X86" i="18" s="1"/>
  <c r="N20" i="18"/>
  <c r="X20" i="18" s="1"/>
  <c r="N42" i="18"/>
  <c r="N64" i="18"/>
  <c r="X64" i="18" s="1"/>
  <c r="N31" i="18"/>
  <c r="X31" i="18" s="1"/>
  <c r="E84" i="16"/>
  <c r="AC83" i="16"/>
  <c r="J34" i="16"/>
  <c r="K18" i="16" s="1"/>
  <c r="B14" i="22" s="1"/>
  <c r="Y92" i="24" l="1"/>
  <c r="AI95" i="24"/>
  <c r="M122" i="24"/>
  <c r="Y152" i="24"/>
  <c r="Y154" i="24"/>
  <c r="Y150" i="24"/>
  <c r="H23" i="15"/>
  <c r="BJ41" i="15"/>
  <c r="D12" i="23"/>
  <c r="AN11" i="15"/>
  <c r="N57" i="18"/>
  <c r="X56" i="18" s="1"/>
  <c r="AJ82" i="24"/>
  <c r="N35" i="18"/>
  <c r="X34" i="18" s="1"/>
  <c r="E11" i="23"/>
  <c r="F109" i="18"/>
  <c r="CE79" i="15" s="1"/>
  <c r="F108" i="18"/>
  <c r="CE81" i="15" s="1"/>
  <c r="BW83" i="15"/>
  <c r="N90" i="18"/>
  <c r="X89" i="18" s="1"/>
  <c r="N112" i="18"/>
  <c r="X111" i="18" s="1"/>
  <c r="K12" i="16"/>
  <c r="B11" i="22" s="1"/>
  <c r="N79" i="18"/>
  <c r="X78" i="18" s="1"/>
  <c r="N24" i="18"/>
  <c r="X23" i="18" s="1"/>
  <c r="N123" i="18"/>
  <c r="X122" i="18" s="1"/>
  <c r="N134" i="18"/>
  <c r="X133" i="18" s="1"/>
  <c r="N101" i="18"/>
  <c r="X100" i="18" s="1"/>
  <c r="N68" i="18"/>
  <c r="X67" i="18" s="1"/>
  <c r="X141" i="18"/>
  <c r="N145" i="18"/>
  <c r="X144" i="18" s="1"/>
  <c r="AN21" i="15"/>
  <c r="F28" i="24"/>
  <c r="B34" i="18"/>
  <c r="B35" i="18"/>
  <c r="AD128" i="24"/>
  <c r="G23" i="18"/>
  <c r="AI21" i="24"/>
  <c r="P33" i="15"/>
  <c r="X42" i="18"/>
  <c r="N46" i="18"/>
  <c r="X45" i="18" s="1"/>
  <c r="K22" i="16"/>
  <c r="B16" i="22" s="1"/>
  <c r="K24" i="16"/>
  <c r="B17" i="22" s="1"/>
  <c r="K28" i="16"/>
  <c r="B19" i="22" s="1"/>
  <c r="K26" i="16"/>
  <c r="B18" i="22" s="1"/>
  <c r="K16" i="16"/>
  <c r="B13" i="22" s="1"/>
  <c r="K10" i="16"/>
  <c r="F61" i="16"/>
  <c r="F59" i="16"/>
  <c r="J4" i="16"/>
  <c r="S3" i="16" s="1"/>
  <c r="K20" i="16"/>
  <c r="B15" i="22" s="1"/>
  <c r="K32" i="16"/>
  <c r="B21" i="22" s="1"/>
  <c r="K30" i="16"/>
  <c r="B20" i="22" s="1"/>
  <c r="K14" i="16"/>
  <c r="B12" i="22" s="1"/>
  <c r="CT49" i="15" l="1"/>
  <c r="CN75" i="15"/>
  <c r="CN73" i="15"/>
  <c r="CN77" i="15"/>
  <c r="O81" i="15"/>
  <c r="E40" i="24"/>
  <c r="P79" i="15"/>
  <c r="CO27" i="15"/>
  <c r="D11" i="23"/>
  <c r="G113" i="18"/>
  <c r="CE83" i="15" s="1"/>
  <c r="O9" i="18"/>
  <c r="G29" i="18"/>
  <c r="O13" i="18"/>
  <c r="G30" i="18"/>
  <c r="R28" i="24"/>
  <c r="P59" i="15"/>
  <c r="D4" i="22"/>
  <c r="O10" i="18"/>
  <c r="P25" i="15"/>
  <c r="O11" i="18"/>
  <c r="AI16" i="24"/>
  <c r="O12" i="18"/>
  <c r="D4" i="23"/>
  <c r="BO23" i="15"/>
  <c r="CT47" i="15"/>
  <c r="AD126" i="24"/>
  <c r="B10" i="22"/>
  <c r="K35" i="16"/>
  <c r="O85" i="15" l="1"/>
  <c r="AI92" i="24"/>
  <c r="D10" i="22"/>
  <c r="D19" i="22"/>
  <c r="D16" i="22"/>
  <c r="D20" i="22"/>
  <c r="D18" i="22"/>
  <c r="D13" i="22"/>
  <c r="D11" i="22"/>
  <c r="D21" i="22"/>
  <c r="D15" i="22"/>
  <c r="D12" i="22"/>
  <c r="D17" i="22"/>
  <c r="D14" i="22"/>
  <c r="M19" i="23"/>
  <c r="AB40" i="18"/>
  <c r="G31" i="18"/>
  <c r="O45" i="18"/>
  <c r="O56" i="18"/>
  <c r="O34" i="18"/>
  <c r="O144" i="18"/>
  <c r="O111" i="18"/>
  <c r="O122" i="18"/>
  <c r="O100" i="18"/>
  <c r="O89" i="18"/>
  <c r="O67" i="18"/>
  <c r="O133" i="18"/>
  <c r="O78" i="18"/>
  <c r="O23" i="18"/>
  <c r="O22" i="18"/>
  <c r="O143" i="18"/>
  <c r="O33" i="18"/>
  <c r="O88" i="18"/>
  <c r="O55" i="18"/>
  <c r="O121" i="18"/>
  <c r="O44" i="18"/>
  <c r="O110" i="18"/>
  <c r="O99" i="18"/>
  <c r="O66" i="18"/>
  <c r="O77" i="18"/>
  <c r="O132" i="18"/>
  <c r="O43" i="18"/>
  <c r="O65" i="18"/>
  <c r="O98" i="18"/>
  <c r="O142" i="18"/>
  <c r="O120" i="18"/>
  <c r="O109" i="18"/>
  <c r="O32" i="18"/>
  <c r="O131" i="18"/>
  <c r="O21" i="18"/>
  <c r="O76" i="18"/>
  <c r="O87" i="18"/>
  <c r="O54" i="18"/>
  <c r="O46" i="18"/>
  <c r="P46" i="18" s="1"/>
  <c r="P42" i="18" s="1"/>
  <c r="O68" i="18"/>
  <c r="P68" i="18" s="1"/>
  <c r="Y67" i="18" s="1"/>
  <c r="Y64" i="18" s="1"/>
  <c r="O90" i="18"/>
  <c r="P90" i="18" s="1"/>
  <c r="P86" i="18" s="1"/>
  <c r="O145" i="18"/>
  <c r="O112" i="18"/>
  <c r="P112" i="18" s="1"/>
  <c r="Y111" i="18" s="1"/>
  <c r="G29" i="23" s="1"/>
  <c r="O57" i="18"/>
  <c r="P57" i="18" s="1"/>
  <c r="Y56" i="18" s="1"/>
  <c r="Y55" i="18" s="1"/>
  <c r="O123" i="18"/>
  <c r="P123" i="18" s="1"/>
  <c r="Y122" i="18" s="1"/>
  <c r="Y119" i="18" s="1"/>
  <c r="G17" i="23"/>
  <c r="O79" i="18"/>
  <c r="P79" i="18" s="1"/>
  <c r="P77" i="18" s="1"/>
  <c r="O24" i="18"/>
  <c r="P24" i="18" s="1"/>
  <c r="Y23" i="18" s="1"/>
  <c r="Y21" i="18" s="1"/>
  <c r="O101" i="18"/>
  <c r="P101" i="18" s="1"/>
  <c r="Y100" i="18" s="1"/>
  <c r="Y97" i="18" s="1"/>
  <c r="O134" i="18"/>
  <c r="P134" i="18" s="1"/>
  <c r="Y133" i="18" s="1"/>
  <c r="Y131" i="18" s="1"/>
  <c r="O35" i="18"/>
  <c r="O86" i="18"/>
  <c r="O108" i="18"/>
  <c r="O64" i="18"/>
  <c r="O75" i="18"/>
  <c r="C17" i="23"/>
  <c r="O14" i="18"/>
  <c r="O141" i="18"/>
  <c r="O20" i="18"/>
  <c r="O119" i="18"/>
  <c r="O97" i="18"/>
  <c r="O31" i="18"/>
  <c r="O42" i="18"/>
  <c r="O130" i="18"/>
  <c r="O53" i="18"/>
  <c r="H21" i="22" l="1"/>
  <c r="E21" i="22"/>
  <c r="AJ43" i="15" s="1"/>
  <c r="AL54" i="24" s="1"/>
  <c r="A174" i="18"/>
  <c r="B174" i="18" s="1"/>
  <c r="I31" i="18"/>
  <c r="H11" i="22"/>
  <c r="E11" i="22"/>
  <c r="Z43" i="15" s="1"/>
  <c r="AB54" i="24" s="1"/>
  <c r="H14" i="22"/>
  <c r="E14" i="22"/>
  <c r="AC43" i="15" s="1"/>
  <c r="AE54" i="24" s="1"/>
  <c r="E20" i="22"/>
  <c r="AI43" i="15" s="1"/>
  <c r="AK54" i="24" s="1"/>
  <c r="H20" i="22"/>
  <c r="E13" i="22"/>
  <c r="AB43" i="15" s="1"/>
  <c r="AD54" i="24" s="1"/>
  <c r="H13" i="22"/>
  <c r="H18" i="22"/>
  <c r="E18" i="22"/>
  <c r="AG43" i="15" s="1"/>
  <c r="AI54" i="24" s="1"/>
  <c r="H17" i="22"/>
  <c r="E17" i="22"/>
  <c r="AF43" i="15" s="1"/>
  <c r="AH54" i="24" s="1"/>
  <c r="H16" i="22"/>
  <c r="E16" i="22"/>
  <c r="AE43" i="15" s="1"/>
  <c r="AG54" i="24" s="1"/>
  <c r="H12" i="22"/>
  <c r="E12" i="22"/>
  <c r="AA43" i="15" s="1"/>
  <c r="AC54" i="24" s="1"/>
  <c r="E19" i="22"/>
  <c r="AH43" i="15" s="1"/>
  <c r="AJ54" i="24" s="1"/>
  <c r="H19" i="22"/>
  <c r="E15" i="22"/>
  <c r="AD43" i="15" s="1"/>
  <c r="AF54" i="24" s="1"/>
  <c r="H15" i="22"/>
  <c r="H10" i="22"/>
  <c r="E10" i="22"/>
  <c r="Y43" i="15" s="1"/>
  <c r="AA54" i="24" s="1"/>
  <c r="D22" i="22"/>
  <c r="D23" i="22" s="1"/>
  <c r="P64" i="18"/>
  <c r="S64" i="18" s="1"/>
  <c r="P87" i="18"/>
  <c r="T87" i="18" s="1"/>
  <c r="P44" i="18"/>
  <c r="S44" i="18" s="1"/>
  <c r="G25" i="23"/>
  <c r="P20" i="18"/>
  <c r="S20" i="18" s="1"/>
  <c r="P23" i="18"/>
  <c r="S23" i="18" s="1"/>
  <c r="P67" i="18"/>
  <c r="T67" i="18" s="1"/>
  <c r="Y66" i="18"/>
  <c r="AA66" i="18" s="1"/>
  <c r="AH66" i="18" s="1"/>
  <c r="P66" i="18"/>
  <c r="T66" i="18" s="1"/>
  <c r="Y65" i="18"/>
  <c r="Z65" i="18" s="1"/>
  <c r="AG65" i="18" s="1"/>
  <c r="P65" i="18"/>
  <c r="S65" i="18" s="1"/>
  <c r="G21" i="23"/>
  <c r="P22" i="18"/>
  <c r="T22" i="18" s="1"/>
  <c r="Y20" i="18"/>
  <c r="Z20" i="18" s="1"/>
  <c r="Y22" i="18"/>
  <c r="AA22" i="18" s="1"/>
  <c r="AH22" i="18" s="1"/>
  <c r="P111" i="18"/>
  <c r="S111" i="18" s="1"/>
  <c r="P21" i="18"/>
  <c r="T21" i="18" s="1"/>
  <c r="K17" i="23"/>
  <c r="P121" i="18"/>
  <c r="T121" i="18" s="1"/>
  <c r="P130" i="18"/>
  <c r="S130" i="18" s="1"/>
  <c r="Y130" i="18"/>
  <c r="AA130" i="18" s="1"/>
  <c r="P54" i="18"/>
  <c r="S54" i="18" s="1"/>
  <c r="G24" i="23"/>
  <c r="P56" i="18"/>
  <c r="S56" i="18" s="1"/>
  <c r="P110" i="18"/>
  <c r="T110" i="18" s="1"/>
  <c r="BO27" i="15"/>
  <c r="Y53" i="18"/>
  <c r="Z53" i="18" s="1"/>
  <c r="AG53" i="18" s="1"/>
  <c r="Y89" i="18"/>
  <c r="G27" i="23" s="1"/>
  <c r="P63" i="15"/>
  <c r="A177" i="18"/>
  <c r="B177" i="18" s="1"/>
  <c r="A173" i="18"/>
  <c r="B173" i="18" s="1"/>
  <c r="Y13" i="18"/>
  <c r="O135" i="18"/>
  <c r="O47" i="18"/>
  <c r="Y132" i="18"/>
  <c r="Z132" i="18" s="1"/>
  <c r="AG132" i="18" s="1"/>
  <c r="P99" i="18"/>
  <c r="T99" i="18" s="1"/>
  <c r="P98" i="18"/>
  <c r="T98" i="18" s="1"/>
  <c r="P132" i="18"/>
  <c r="S132" i="18" s="1"/>
  <c r="G31" i="23"/>
  <c r="Y12" i="18"/>
  <c r="Y11" i="18" s="1"/>
  <c r="P133" i="18"/>
  <c r="T133" i="18" s="1"/>
  <c r="Y78" i="18"/>
  <c r="Y77" i="18" s="1"/>
  <c r="Y54" i="18"/>
  <c r="AA54" i="18" s="1"/>
  <c r="AH54" i="18" s="1"/>
  <c r="P53" i="18"/>
  <c r="S53" i="18" s="1"/>
  <c r="P131" i="18"/>
  <c r="T131" i="18" s="1"/>
  <c r="P55" i="18"/>
  <c r="S55" i="18" s="1"/>
  <c r="P43" i="18"/>
  <c r="T43" i="18" s="1"/>
  <c r="O102" i="18"/>
  <c r="P120" i="18"/>
  <c r="S120" i="18" s="1"/>
  <c r="A171" i="18"/>
  <c r="B171" i="18" s="1"/>
  <c r="R33" i="24"/>
  <c r="A175" i="18"/>
  <c r="B175" i="18" s="1"/>
  <c r="G32" i="18"/>
  <c r="BL51" i="15" s="1"/>
  <c r="A172" i="18"/>
  <c r="B172" i="18" s="1"/>
  <c r="P76" i="18"/>
  <c r="T76" i="18" s="1"/>
  <c r="Y121" i="18"/>
  <c r="Z121" i="18" s="1"/>
  <c r="AG121" i="18" s="1"/>
  <c r="Y108" i="18"/>
  <c r="Z108" i="18" s="1"/>
  <c r="AG108" i="18" s="1"/>
  <c r="P89" i="18"/>
  <c r="S89" i="18" s="1"/>
  <c r="O146" i="18"/>
  <c r="P75" i="18"/>
  <c r="S75" i="18" s="1"/>
  <c r="Y109" i="18"/>
  <c r="Z109" i="18" s="1"/>
  <c r="AG109" i="18" s="1"/>
  <c r="Y120" i="18"/>
  <c r="Z120" i="18" s="1"/>
  <c r="AG120" i="18" s="1"/>
  <c r="Y98" i="18"/>
  <c r="AA98" i="18" s="1"/>
  <c r="AH98" i="18" s="1"/>
  <c r="P97" i="18"/>
  <c r="S97" i="18" s="1"/>
  <c r="P100" i="18"/>
  <c r="S100" i="18" s="1"/>
  <c r="P122" i="18"/>
  <c r="S122" i="18" s="1"/>
  <c r="P119" i="18"/>
  <c r="S119" i="18" s="1"/>
  <c r="Y45" i="18"/>
  <c r="Y44" i="18" s="1"/>
  <c r="P109" i="18"/>
  <c r="S109" i="18" s="1"/>
  <c r="P108" i="18"/>
  <c r="S108" i="18" s="1"/>
  <c r="P78" i="18"/>
  <c r="T78" i="18" s="1"/>
  <c r="P45" i="18"/>
  <c r="S45" i="18" s="1"/>
  <c r="Y110" i="18"/>
  <c r="AA110" i="18" s="1"/>
  <c r="AH110" i="18" s="1"/>
  <c r="P88" i="18"/>
  <c r="T88" i="18" s="1"/>
  <c r="G30" i="23"/>
  <c r="Y99" i="18"/>
  <c r="Z99" i="18" s="1"/>
  <c r="AG99" i="18" s="1"/>
  <c r="G28" i="23"/>
  <c r="O58" i="18"/>
  <c r="O25" i="18"/>
  <c r="O80" i="18"/>
  <c r="O113" i="18"/>
  <c r="O36" i="18"/>
  <c r="O124" i="18"/>
  <c r="O69" i="18"/>
  <c r="O91" i="18"/>
  <c r="P145" i="18"/>
  <c r="Y144" i="18" s="1"/>
  <c r="P35" i="18"/>
  <c r="Y34" i="18" s="1"/>
  <c r="AA131" i="18"/>
  <c r="AH131" i="18" s="1"/>
  <c r="Z131" i="18"/>
  <c r="AG131" i="18" s="1"/>
  <c r="Z55" i="18"/>
  <c r="AG55" i="18" s="1"/>
  <c r="AA55" i="18"/>
  <c r="AH55" i="18" s="1"/>
  <c r="AA119" i="18"/>
  <c r="Z119" i="18"/>
  <c r="AA97" i="18"/>
  <c r="Z97" i="18"/>
  <c r="AA21" i="18"/>
  <c r="AH21" i="18" s="1"/>
  <c r="Z21" i="18"/>
  <c r="AG21" i="18" s="1"/>
  <c r="Z64" i="18"/>
  <c r="AA64" i="18"/>
  <c r="S86" i="18"/>
  <c r="T86" i="18"/>
  <c r="T77" i="18"/>
  <c r="S77" i="18"/>
  <c r="T42" i="18"/>
  <c r="S42" i="18"/>
  <c r="X70" i="24" l="1"/>
  <c r="CO23" i="15"/>
  <c r="Z22" i="18"/>
  <c r="AG22" i="18" s="1"/>
  <c r="AI22" i="18" s="1"/>
  <c r="AA65" i="18"/>
  <c r="AH65" i="18" s="1"/>
  <c r="AI65" i="18" s="1"/>
  <c r="CV11" i="15"/>
  <c r="Z66" i="18"/>
  <c r="AG66" i="18" s="1"/>
  <c r="AI66" i="18" s="1"/>
  <c r="AA120" i="18"/>
  <c r="AH120" i="18" s="1"/>
  <c r="AI120" i="18" s="1"/>
  <c r="AA20" i="18"/>
  <c r="AH20" i="18" s="1"/>
  <c r="AH23" i="18" s="1"/>
  <c r="Z98" i="18"/>
  <c r="AG98" i="18" s="1"/>
  <c r="AI98" i="18" s="1"/>
  <c r="O134" i="24"/>
  <c r="Z110" i="18"/>
  <c r="AG110" i="18" s="1"/>
  <c r="AG111" i="18" s="1"/>
  <c r="AA121" i="18"/>
  <c r="AH121" i="18" s="1"/>
  <c r="AI121" i="18" s="1"/>
  <c r="AA108" i="18"/>
  <c r="AH108" i="18" s="1"/>
  <c r="Z130" i="18"/>
  <c r="AG130" i="18" s="1"/>
  <c r="AG133" i="18" s="1"/>
  <c r="AA109" i="18"/>
  <c r="AH109" i="18" s="1"/>
  <c r="AI109" i="18" s="1"/>
  <c r="AA99" i="18"/>
  <c r="AH99" i="18" s="1"/>
  <c r="AI99" i="18" s="1"/>
  <c r="J14" i="22"/>
  <c r="G14" i="22" s="1"/>
  <c r="AC41" i="15" s="1"/>
  <c r="AE52" i="24" s="1"/>
  <c r="K14" i="22"/>
  <c r="I14" i="22"/>
  <c r="F14" i="22" s="1"/>
  <c r="AC45" i="15" s="1"/>
  <c r="AE56" i="24" s="1"/>
  <c r="Z54" i="18"/>
  <c r="AG54" i="18" s="1"/>
  <c r="AI54" i="18" s="1"/>
  <c r="J19" i="22"/>
  <c r="G19" i="22" s="1"/>
  <c r="AH41" i="15" s="1"/>
  <c r="AJ52" i="24" s="1"/>
  <c r="K19" i="22"/>
  <c r="I19" i="22"/>
  <c r="F19" i="22" s="1"/>
  <c r="AH45" i="15" s="1"/>
  <c r="AJ56" i="24" s="1"/>
  <c r="I15" i="22"/>
  <c r="F15" i="22" s="1"/>
  <c r="AD45" i="15" s="1"/>
  <c r="AF56" i="24" s="1"/>
  <c r="J15" i="22"/>
  <c r="G15" i="22" s="1"/>
  <c r="AD41" i="15" s="1"/>
  <c r="AF52" i="24" s="1"/>
  <c r="K15" i="22"/>
  <c r="AA132" i="18"/>
  <c r="AH132" i="18" s="1"/>
  <c r="AI132" i="18" s="1"/>
  <c r="K18" i="22"/>
  <c r="I18" i="22"/>
  <c r="F18" i="22" s="1"/>
  <c r="AG45" i="15" s="1"/>
  <c r="AI56" i="24" s="1"/>
  <c r="J18" i="22"/>
  <c r="G18" i="22" s="1"/>
  <c r="AG41" i="15" s="1"/>
  <c r="AI52" i="24" s="1"/>
  <c r="I11" i="22"/>
  <c r="F11" i="22" s="1"/>
  <c r="Z45" i="15" s="1"/>
  <c r="AB56" i="24" s="1"/>
  <c r="J11" i="22"/>
  <c r="G11" i="22" s="1"/>
  <c r="Z41" i="15" s="1"/>
  <c r="AB52" i="24" s="1"/>
  <c r="K11" i="22"/>
  <c r="AA53" i="18"/>
  <c r="AA56" i="18" s="1"/>
  <c r="Z11" i="18"/>
  <c r="AG11" i="18" s="1"/>
  <c r="AA11" i="18"/>
  <c r="AH11" i="18" s="1"/>
  <c r="J13" i="22"/>
  <c r="G13" i="22" s="1"/>
  <c r="AB41" i="15" s="1"/>
  <c r="AD52" i="24" s="1"/>
  <c r="K13" i="22"/>
  <c r="I13" i="22"/>
  <c r="F13" i="22" s="1"/>
  <c r="AB45" i="15" s="1"/>
  <c r="AD56" i="24" s="1"/>
  <c r="BN27" i="15"/>
  <c r="G67" i="15"/>
  <c r="P34" i="24"/>
  <c r="AI86" i="24"/>
  <c r="K17" i="22"/>
  <c r="I17" i="22"/>
  <c r="F17" i="22" s="1"/>
  <c r="AF45" i="15" s="1"/>
  <c r="AH56" i="24" s="1"/>
  <c r="J17" i="22"/>
  <c r="G17" i="22" s="1"/>
  <c r="AF41" i="15" s="1"/>
  <c r="AH52" i="24" s="1"/>
  <c r="D26" i="22"/>
  <c r="E26" i="22" s="1"/>
  <c r="D24" i="22"/>
  <c r="E24" i="22" s="1"/>
  <c r="D25" i="22"/>
  <c r="E25" i="22" s="1"/>
  <c r="D27" i="22"/>
  <c r="E27" i="22" s="1"/>
  <c r="K12" i="22"/>
  <c r="I12" i="22"/>
  <c r="F12" i="22" s="1"/>
  <c r="AA45" i="15" s="1"/>
  <c r="AC56" i="24" s="1"/>
  <c r="J12" i="22"/>
  <c r="G12" i="22" s="1"/>
  <c r="AA41" i="15" s="1"/>
  <c r="AC52" i="24" s="1"/>
  <c r="R31" i="24"/>
  <c r="I32" i="18"/>
  <c r="K20" i="22"/>
  <c r="J20" i="22"/>
  <c r="G20" i="22" s="1"/>
  <c r="AI41" i="15" s="1"/>
  <c r="AK52" i="24" s="1"/>
  <c r="I20" i="22"/>
  <c r="F20" i="22" s="1"/>
  <c r="AI45" i="15" s="1"/>
  <c r="AK56" i="24" s="1"/>
  <c r="J10" i="22"/>
  <c r="G10" i="22" s="1"/>
  <c r="Y41" i="15" s="1"/>
  <c r="AA52" i="24" s="1"/>
  <c r="I10" i="22"/>
  <c r="F10" i="22" s="1"/>
  <c r="Y45" i="15" s="1"/>
  <c r="AA56" i="24" s="1"/>
  <c r="K10" i="22"/>
  <c r="K16" i="22"/>
  <c r="I16" i="22"/>
  <c r="F16" i="22" s="1"/>
  <c r="AE45" i="15" s="1"/>
  <c r="AG56" i="24" s="1"/>
  <c r="J16" i="22"/>
  <c r="G16" i="22" s="1"/>
  <c r="AE41" i="15" s="1"/>
  <c r="AG52" i="24" s="1"/>
  <c r="J21" i="22"/>
  <c r="G21" i="22" s="1"/>
  <c r="AJ41" i="15" s="1"/>
  <c r="AL52" i="24" s="1"/>
  <c r="I21" i="22"/>
  <c r="F21" i="22" s="1"/>
  <c r="AJ45" i="15" s="1"/>
  <c r="AL56" i="24" s="1"/>
  <c r="K21" i="22"/>
  <c r="S67" i="18"/>
  <c r="U67" i="18" s="1"/>
  <c r="T65" i="18"/>
  <c r="U65" i="18" s="1"/>
  <c r="S22" i="18"/>
  <c r="U22" i="18" s="1"/>
  <c r="T44" i="18"/>
  <c r="U44" i="18" s="1"/>
  <c r="T64" i="18"/>
  <c r="S131" i="18"/>
  <c r="U131" i="18" s="1"/>
  <c r="S98" i="18"/>
  <c r="U98" i="18" s="1"/>
  <c r="T23" i="18"/>
  <c r="U23" i="18" s="1"/>
  <c r="P25" i="18"/>
  <c r="S76" i="18"/>
  <c r="U76" i="18" s="1"/>
  <c r="T20" i="18"/>
  <c r="S87" i="18"/>
  <c r="U87" i="18" s="1"/>
  <c r="T53" i="18"/>
  <c r="U53" i="18" s="1"/>
  <c r="T120" i="18"/>
  <c r="U120" i="18" s="1"/>
  <c r="S110" i="18"/>
  <c r="S112" i="18" s="1"/>
  <c r="T45" i="18"/>
  <c r="U45" i="18" s="1"/>
  <c r="S88" i="18"/>
  <c r="U88" i="18" s="1"/>
  <c r="P69" i="18"/>
  <c r="T56" i="18"/>
  <c r="U56" i="18" s="1"/>
  <c r="S66" i="18"/>
  <c r="S43" i="18"/>
  <c r="S46" i="18" s="1"/>
  <c r="T111" i="18"/>
  <c r="U111" i="18" s="1"/>
  <c r="T54" i="18"/>
  <c r="U54" i="18" s="1"/>
  <c r="G26" i="23"/>
  <c r="Y87" i="18"/>
  <c r="Z87" i="18" s="1"/>
  <c r="AG87" i="18" s="1"/>
  <c r="S121" i="18"/>
  <c r="U121" i="18" s="1"/>
  <c r="T89" i="18"/>
  <c r="T90" i="18" s="1"/>
  <c r="S78" i="18"/>
  <c r="U78" i="18" s="1"/>
  <c r="S21" i="18"/>
  <c r="Y88" i="18"/>
  <c r="Z88" i="18" s="1"/>
  <c r="AG88" i="18" s="1"/>
  <c r="S133" i="18"/>
  <c r="U133" i="18" s="1"/>
  <c r="P58" i="18"/>
  <c r="Y86" i="18"/>
  <c r="Z86" i="18" s="1"/>
  <c r="AG86" i="18" s="1"/>
  <c r="T132" i="18"/>
  <c r="U132" i="18" s="1"/>
  <c r="T122" i="18"/>
  <c r="P91" i="18"/>
  <c r="T97" i="18"/>
  <c r="U97" i="18" s="1"/>
  <c r="T130" i="18"/>
  <c r="U130" i="18" s="1"/>
  <c r="S99" i="18"/>
  <c r="U99" i="18" s="1"/>
  <c r="T119" i="18"/>
  <c r="U119" i="18" s="1"/>
  <c r="T108" i="18"/>
  <c r="U108" i="18" s="1"/>
  <c r="P13" i="18"/>
  <c r="P12" i="18" s="1"/>
  <c r="BL47" i="15" s="1"/>
  <c r="BJ47" i="15" s="1"/>
  <c r="Y9" i="18"/>
  <c r="BO25" i="15"/>
  <c r="P47" i="18"/>
  <c r="Y10" i="18"/>
  <c r="P135" i="18"/>
  <c r="Y42" i="18"/>
  <c r="Z42" i="18" s="1"/>
  <c r="B170" i="18"/>
  <c r="G97" i="18" s="1"/>
  <c r="AN51" i="15" s="1"/>
  <c r="T75" i="18"/>
  <c r="T79" i="18" s="1"/>
  <c r="Y43" i="18"/>
  <c r="AA43" i="18" s="1"/>
  <c r="AH43" i="18" s="1"/>
  <c r="P80" i="18"/>
  <c r="G23" i="23"/>
  <c r="Y76" i="18"/>
  <c r="AA76" i="18" s="1"/>
  <c r="AH76" i="18" s="1"/>
  <c r="Y75" i="18"/>
  <c r="Z75" i="18" s="1"/>
  <c r="T55" i="18"/>
  <c r="U55" i="18" s="1"/>
  <c r="P124" i="18"/>
  <c r="A170" i="18"/>
  <c r="G95" i="18" s="1"/>
  <c r="B96" i="18" s="1"/>
  <c r="BF75" i="15" s="1"/>
  <c r="I158" i="24" s="1"/>
  <c r="P61" i="15"/>
  <c r="AN83" i="15"/>
  <c r="P113" i="18"/>
  <c r="P102" i="18"/>
  <c r="T109" i="18"/>
  <c r="T100" i="18"/>
  <c r="U100" i="18" s="1"/>
  <c r="Y141" i="18"/>
  <c r="Y142" i="18"/>
  <c r="Y143" i="18"/>
  <c r="G32" i="23"/>
  <c r="G22" i="23"/>
  <c r="Y31" i="18"/>
  <c r="Y33" i="18"/>
  <c r="Y32" i="18"/>
  <c r="P32" i="18"/>
  <c r="P31" i="18"/>
  <c r="P33" i="18"/>
  <c r="P34" i="18"/>
  <c r="P143" i="18"/>
  <c r="P141" i="18"/>
  <c r="P144" i="18"/>
  <c r="P142" i="18"/>
  <c r="AI131" i="18"/>
  <c r="AA77" i="18"/>
  <c r="AH77" i="18" s="1"/>
  <c r="Z77" i="18"/>
  <c r="AG77" i="18" s="1"/>
  <c r="AG64" i="18"/>
  <c r="AH130" i="18"/>
  <c r="AG97" i="18"/>
  <c r="Z122" i="18"/>
  <c r="AG119" i="18"/>
  <c r="Z44" i="18"/>
  <c r="AG44" i="18" s="1"/>
  <c r="AA44" i="18"/>
  <c r="AH44" i="18" s="1"/>
  <c r="AH64" i="18"/>
  <c r="AI21" i="18"/>
  <c r="AH97" i="18"/>
  <c r="AH119" i="18"/>
  <c r="AI55" i="18"/>
  <c r="AG20" i="18"/>
  <c r="S57" i="18"/>
  <c r="U42" i="18"/>
  <c r="U77" i="18"/>
  <c r="U86" i="18"/>
  <c r="AA67" i="18" l="1"/>
  <c r="AC69" i="18" s="1"/>
  <c r="AH67" i="18"/>
  <c r="Z23" i="18"/>
  <c r="AB25" i="18" s="1"/>
  <c r="AA23" i="18"/>
  <c r="AC25" i="18" s="1"/>
  <c r="Z67" i="18"/>
  <c r="Z100" i="18"/>
  <c r="AB102" i="18" s="1"/>
  <c r="AA122" i="18"/>
  <c r="AC124" i="18" s="1"/>
  <c r="Z43" i="18"/>
  <c r="AG43" i="18" s="1"/>
  <c r="AI43" i="18" s="1"/>
  <c r="Z111" i="18"/>
  <c r="AB113" i="18" s="1"/>
  <c r="AH122" i="18"/>
  <c r="AI110" i="18"/>
  <c r="P11" i="18"/>
  <c r="O126" i="24" s="1"/>
  <c r="M126" i="24" s="1"/>
  <c r="Z76" i="18"/>
  <c r="AG76" i="18" s="1"/>
  <c r="AI76" i="18" s="1"/>
  <c r="AS83" i="15"/>
  <c r="AY83" i="15"/>
  <c r="G78" i="18" s="1"/>
  <c r="Z133" i="18"/>
  <c r="AB135" i="18" s="1"/>
  <c r="AH100" i="18"/>
  <c r="AA100" i="18"/>
  <c r="AC102" i="18" s="1"/>
  <c r="AA111" i="18"/>
  <c r="AC113" i="18" s="1"/>
  <c r="AA42" i="18"/>
  <c r="AA45" i="18" s="1"/>
  <c r="AC47" i="18" s="1"/>
  <c r="AA87" i="18"/>
  <c r="AH87" i="18" s="1"/>
  <c r="AI87" i="18" s="1"/>
  <c r="AA86" i="18"/>
  <c r="AH86" i="18" s="1"/>
  <c r="AG56" i="18"/>
  <c r="Z56" i="18"/>
  <c r="AB58" i="18" s="1"/>
  <c r="AI11" i="18"/>
  <c r="AA133" i="18"/>
  <c r="AC135" i="18" s="1"/>
  <c r="Z10" i="18"/>
  <c r="AG10" i="18" s="1"/>
  <c r="AA10" i="18"/>
  <c r="AH10" i="18" s="1"/>
  <c r="AA143" i="18"/>
  <c r="AH143" i="18" s="1"/>
  <c r="Z143" i="18"/>
  <c r="AG143" i="18" s="1"/>
  <c r="V19" i="15"/>
  <c r="X30" i="24"/>
  <c r="AA75" i="18"/>
  <c r="AH75" i="18" s="1"/>
  <c r="AH78" i="18" s="1"/>
  <c r="AA142" i="18"/>
  <c r="AH142" i="18" s="1"/>
  <c r="Z142" i="18"/>
  <c r="AG142" i="18" s="1"/>
  <c r="I114" i="24"/>
  <c r="AI78" i="24"/>
  <c r="BN25" i="15"/>
  <c r="P32" i="24"/>
  <c r="V27" i="15"/>
  <c r="X38" i="24"/>
  <c r="V23" i="15"/>
  <c r="X34" i="24"/>
  <c r="Z141" i="18"/>
  <c r="AA141" i="18"/>
  <c r="Z33" i="18"/>
  <c r="AG33" i="18" s="1"/>
  <c r="AA33" i="18"/>
  <c r="AH33" i="18" s="1"/>
  <c r="V31" i="15"/>
  <c r="X42" i="24"/>
  <c r="AH53" i="18"/>
  <c r="AH56" i="18" s="1"/>
  <c r="AA88" i="18"/>
  <c r="AH88" i="18" s="1"/>
  <c r="AI88" i="18" s="1"/>
  <c r="AA9" i="18"/>
  <c r="Z9" i="18"/>
  <c r="Z32" i="18"/>
  <c r="AG32" i="18" s="1"/>
  <c r="AA32" i="18"/>
  <c r="AH32" i="18" s="1"/>
  <c r="AA31" i="18"/>
  <c r="Z31" i="18"/>
  <c r="U75" i="18"/>
  <c r="U79" i="18" s="1"/>
  <c r="D26" i="23" s="1"/>
  <c r="S68" i="18"/>
  <c r="T68" i="18"/>
  <c r="S24" i="18"/>
  <c r="S123" i="18"/>
  <c r="S134" i="18"/>
  <c r="U64" i="18"/>
  <c r="T46" i="18"/>
  <c r="S47" i="18" s="1"/>
  <c r="U110" i="18"/>
  <c r="P10" i="18"/>
  <c r="BL43" i="15" s="1"/>
  <c r="BJ43" i="15" s="1"/>
  <c r="U66" i="18"/>
  <c r="S101" i="18"/>
  <c r="T24" i="18"/>
  <c r="S90" i="18"/>
  <c r="S91" i="18" s="1"/>
  <c r="U20" i="18"/>
  <c r="U43" i="18"/>
  <c r="U46" i="18" s="1"/>
  <c r="D23" i="23" s="1"/>
  <c r="P9" i="18"/>
  <c r="BL41" i="15" s="1"/>
  <c r="T134" i="18"/>
  <c r="U21" i="18"/>
  <c r="T123" i="18"/>
  <c r="U89" i="18"/>
  <c r="U90" i="18" s="1"/>
  <c r="D27" i="23" s="1"/>
  <c r="S79" i="18"/>
  <c r="S80" i="18" s="1"/>
  <c r="U122" i="18"/>
  <c r="U123" i="18" s="1"/>
  <c r="D30" i="23" s="1"/>
  <c r="T112" i="18"/>
  <c r="S113" i="18" s="1"/>
  <c r="T57" i="18"/>
  <c r="S58" i="18" s="1"/>
  <c r="T101" i="18"/>
  <c r="R142" i="24"/>
  <c r="U109" i="18"/>
  <c r="BO63" i="15"/>
  <c r="BM71" i="15"/>
  <c r="BI71" i="15" s="1"/>
  <c r="K154" i="24" s="1"/>
  <c r="BM73" i="15"/>
  <c r="O156" i="24" s="1"/>
  <c r="BM65" i="15"/>
  <c r="BI65" i="15" s="1"/>
  <c r="K146" i="24" s="1"/>
  <c r="S142" i="24"/>
  <c r="BM69" i="15"/>
  <c r="O152" i="24" s="1"/>
  <c r="I149" i="24" s="1"/>
  <c r="BF63" i="15"/>
  <c r="BM67" i="15"/>
  <c r="O148" i="24" s="1"/>
  <c r="BM63" i="15"/>
  <c r="BG63" i="15" s="1"/>
  <c r="I144" i="24" s="1"/>
  <c r="O128" i="24"/>
  <c r="M128" i="24" s="1"/>
  <c r="T12" i="18"/>
  <c r="S12" i="18"/>
  <c r="S142" i="18"/>
  <c r="T142" i="18"/>
  <c r="S141" i="18"/>
  <c r="P146" i="18"/>
  <c r="T141" i="18"/>
  <c r="T34" i="18"/>
  <c r="S34" i="18"/>
  <c r="P36" i="18"/>
  <c r="T31" i="18"/>
  <c r="S31" i="18"/>
  <c r="T144" i="18"/>
  <c r="S144" i="18"/>
  <c r="S143" i="18"/>
  <c r="T143" i="18"/>
  <c r="S33" i="18"/>
  <c r="T33" i="18"/>
  <c r="S32" i="18"/>
  <c r="T32" i="18"/>
  <c r="Z89" i="18"/>
  <c r="AB91" i="18" s="1"/>
  <c r="AI20" i="18"/>
  <c r="AI23" i="18" s="1"/>
  <c r="E21" i="23" s="1"/>
  <c r="AG23" i="18"/>
  <c r="AG24" i="18" s="1"/>
  <c r="AC58" i="18"/>
  <c r="AI44" i="18"/>
  <c r="AG42" i="18"/>
  <c r="AG75" i="18"/>
  <c r="AH111" i="18"/>
  <c r="AG112" i="18" s="1"/>
  <c r="AI108" i="18"/>
  <c r="AI119" i="18"/>
  <c r="AI122" i="18" s="1"/>
  <c r="E30" i="23" s="1"/>
  <c r="AG122" i="18"/>
  <c r="AH133" i="18"/>
  <c r="AG134" i="18" s="1"/>
  <c r="AI130" i="18"/>
  <c r="AI133" i="18" s="1"/>
  <c r="E31" i="23" s="1"/>
  <c r="AI77" i="18"/>
  <c r="AB124" i="18"/>
  <c r="AG100" i="18"/>
  <c r="AI97" i="18"/>
  <c r="AI100" i="18" s="1"/>
  <c r="E28" i="23" s="1"/>
  <c r="AG67" i="18"/>
  <c r="AI64" i="18"/>
  <c r="AI67" i="18" s="1"/>
  <c r="E25" i="23" s="1"/>
  <c r="U57" i="18"/>
  <c r="D24" i="23" s="1"/>
  <c r="U101" i="18"/>
  <c r="D28" i="23" s="1"/>
  <c r="U134" i="18"/>
  <c r="D31" i="23" s="1"/>
  <c r="AG89" i="18"/>
  <c r="Z68" i="18" l="1"/>
  <c r="AG68" i="18"/>
  <c r="AB26" i="18"/>
  <c r="Z24" i="18"/>
  <c r="AB69" i="18"/>
  <c r="AB70" i="18" s="1"/>
  <c r="S11" i="18"/>
  <c r="BL45" i="15"/>
  <c r="BJ45" i="15" s="1"/>
  <c r="AB125" i="18"/>
  <c r="Z123" i="18"/>
  <c r="T11" i="18"/>
  <c r="AI111" i="18"/>
  <c r="E29" i="23" s="1"/>
  <c r="AB114" i="18"/>
  <c r="Z45" i="18"/>
  <c r="Z46" i="18" s="1"/>
  <c r="AG123" i="18"/>
  <c r="Z78" i="18"/>
  <c r="AB80" i="18" s="1"/>
  <c r="G79" i="18"/>
  <c r="Q108" i="24"/>
  <c r="I108" i="24"/>
  <c r="Z112" i="18"/>
  <c r="Z101" i="18"/>
  <c r="AB103" i="18"/>
  <c r="AB136" i="18"/>
  <c r="Z134" i="18"/>
  <c r="AH42" i="18"/>
  <c r="AH45" i="18" s="1"/>
  <c r="AG101" i="18"/>
  <c r="Z57" i="18"/>
  <c r="AB59" i="18"/>
  <c r="AG57" i="18"/>
  <c r="AH89" i="18"/>
  <c r="AG90" i="18" s="1"/>
  <c r="AA89" i="18"/>
  <c r="AC91" i="18" s="1"/>
  <c r="AB92" i="18" s="1"/>
  <c r="AI143" i="18"/>
  <c r="AA78" i="18"/>
  <c r="AC80" i="18" s="1"/>
  <c r="AI10" i="18"/>
  <c r="AG31" i="18"/>
  <c r="Z34" i="18"/>
  <c r="AH31" i="18"/>
  <c r="AH34" i="18" s="1"/>
  <c r="AA34" i="18"/>
  <c r="AC36" i="18" s="1"/>
  <c r="AI53" i="18"/>
  <c r="AI56" i="18" s="1"/>
  <c r="E24" i="23" s="1"/>
  <c r="AI32" i="18"/>
  <c r="AI33" i="18"/>
  <c r="Z12" i="18"/>
  <c r="AG9" i="18"/>
  <c r="AH141" i="18"/>
  <c r="AH144" i="18" s="1"/>
  <c r="AA144" i="18"/>
  <c r="AC146" i="18" s="1"/>
  <c r="AA12" i="18"/>
  <c r="AC14" i="18" s="1"/>
  <c r="AH9" i="18"/>
  <c r="AH12" i="18" s="1"/>
  <c r="Z144" i="18"/>
  <c r="AG141" i="18"/>
  <c r="AI142" i="18"/>
  <c r="S69" i="18"/>
  <c r="S135" i="18"/>
  <c r="S124" i="18"/>
  <c r="S25" i="18"/>
  <c r="P14" i="18"/>
  <c r="U68" i="18"/>
  <c r="D25" i="23" s="1"/>
  <c r="U112" i="18"/>
  <c r="D29" i="23" s="1"/>
  <c r="O122" i="24"/>
  <c r="O124" i="24"/>
  <c r="BF43" i="15"/>
  <c r="T9" i="18"/>
  <c r="S10" i="18"/>
  <c r="S102" i="18"/>
  <c r="T10" i="18"/>
  <c r="U24" i="18"/>
  <c r="D21" i="23" s="1"/>
  <c r="S9" i="18"/>
  <c r="BG73" i="15"/>
  <c r="I156" i="24" s="1"/>
  <c r="BG71" i="15"/>
  <c r="I154" i="24" s="1"/>
  <c r="BI67" i="15"/>
  <c r="K148" i="24" s="1"/>
  <c r="BK67" i="15"/>
  <c r="M148" i="24" s="1"/>
  <c r="BG67" i="15"/>
  <c r="I148" i="24" s="1"/>
  <c r="BK63" i="15"/>
  <c r="M144" i="24" s="1"/>
  <c r="BF69" i="15"/>
  <c r="O146" i="24"/>
  <c r="BG65" i="15"/>
  <c r="I146" i="24" s="1"/>
  <c r="BG69" i="15"/>
  <c r="I152" i="24" s="1"/>
  <c r="BK73" i="15"/>
  <c r="M156" i="24" s="1"/>
  <c r="O144" i="24"/>
  <c r="BI63" i="15"/>
  <c r="K144" i="24" s="1"/>
  <c r="O154" i="24"/>
  <c r="BK71" i="15"/>
  <c r="M154" i="24" s="1"/>
  <c r="BK65" i="15"/>
  <c r="M146" i="24" s="1"/>
  <c r="BI69" i="15"/>
  <c r="K152" i="24" s="1"/>
  <c r="BI73" i="15"/>
  <c r="K156" i="24" s="1"/>
  <c r="BK69" i="15"/>
  <c r="M152" i="24" s="1"/>
  <c r="U12" i="18"/>
  <c r="K126" i="24"/>
  <c r="BH47" i="15"/>
  <c r="BF47" i="15" s="1"/>
  <c r="K128" i="24"/>
  <c r="I128" i="24" s="1"/>
  <c r="U32" i="18"/>
  <c r="U33" i="18"/>
  <c r="U143" i="18"/>
  <c r="T35" i="18"/>
  <c r="U34" i="18"/>
  <c r="U142" i="18"/>
  <c r="U144" i="18"/>
  <c r="U31" i="18"/>
  <c r="S35" i="18"/>
  <c r="T145" i="18"/>
  <c r="S145" i="18"/>
  <c r="U141" i="18"/>
  <c r="AI86" i="18"/>
  <c r="AI89" i="18" s="1"/>
  <c r="E27" i="23" s="1"/>
  <c r="AG78" i="18"/>
  <c r="AG79" i="18" s="1"/>
  <c r="AI75" i="18"/>
  <c r="AI78" i="18" s="1"/>
  <c r="E26" i="23" s="1"/>
  <c r="AG45" i="18"/>
  <c r="U11" i="18" l="1"/>
  <c r="I124" i="24"/>
  <c r="M124" i="24"/>
  <c r="AB47" i="18"/>
  <c r="AB48" i="18" s="1"/>
  <c r="BH45" i="15"/>
  <c r="AY76" i="15"/>
  <c r="P55" i="15"/>
  <c r="G80" i="18"/>
  <c r="AI42" i="18"/>
  <c r="AI45" i="18" s="1"/>
  <c r="E23" i="23" s="1"/>
  <c r="AG46" i="18"/>
  <c r="Z79" i="18"/>
  <c r="Z90" i="18"/>
  <c r="AB81" i="18"/>
  <c r="K124" i="24"/>
  <c r="I126" i="24" s="1"/>
  <c r="AB146" i="18"/>
  <c r="AB147" i="18" s="1"/>
  <c r="Z145" i="18"/>
  <c r="G85" i="18"/>
  <c r="BP69" i="15" s="1"/>
  <c r="T150" i="24"/>
  <c r="Z13" i="18"/>
  <c r="AB14" i="18"/>
  <c r="AB15" i="18" s="1"/>
  <c r="AG144" i="18"/>
  <c r="AG145" i="18" s="1"/>
  <c r="AI141" i="18"/>
  <c r="AI144" i="18" s="1"/>
  <c r="E32" i="23" s="1"/>
  <c r="AB36" i="18"/>
  <c r="AB37" i="18" s="1"/>
  <c r="Z35" i="18"/>
  <c r="AG12" i="18"/>
  <c r="AI9" i="18"/>
  <c r="AI12" i="18" s="1"/>
  <c r="G86" i="18" s="1"/>
  <c r="AG34" i="18"/>
  <c r="AG35" i="18" s="1"/>
  <c r="AI31" i="18"/>
  <c r="AI34" i="18" s="1"/>
  <c r="E22" i="23" s="1"/>
  <c r="S13" i="18"/>
  <c r="G81" i="18" s="1"/>
  <c r="U9" i="18"/>
  <c r="U10" i="18"/>
  <c r="T13" i="18"/>
  <c r="G82" i="18" s="1"/>
  <c r="T131" i="24" s="1"/>
  <c r="BH43" i="15"/>
  <c r="BF45" i="15" s="1"/>
  <c r="S146" i="18"/>
  <c r="S36" i="18"/>
  <c r="U35" i="18"/>
  <c r="D22" i="23" s="1"/>
  <c r="U145" i="18"/>
  <c r="D32" i="23" s="1"/>
  <c r="G81" i="15" l="1"/>
  <c r="P73" i="15"/>
  <c r="T119" i="24"/>
  <c r="G117" i="18"/>
  <c r="O86" i="15" s="1"/>
  <c r="O83" i="15"/>
  <c r="BP49" i="15"/>
  <c r="P75" i="15"/>
  <c r="BP41" i="15"/>
  <c r="BO59" i="15"/>
  <c r="CY20" i="15"/>
  <c r="AJ74" i="24"/>
  <c r="P71" i="15"/>
  <c r="CY16" i="15"/>
  <c r="Q60" i="24"/>
  <c r="P45" i="15"/>
  <c r="E45" i="15" s="1"/>
  <c r="C32" i="23"/>
  <c r="AX37" i="15"/>
  <c r="T142" i="24"/>
  <c r="AG13" i="18"/>
  <c r="G84" i="18"/>
  <c r="BP63" i="15" s="1"/>
  <c r="U13" i="18"/>
  <c r="G83" i="18" s="1"/>
  <c r="S14" i="18"/>
  <c r="CO28" i="15" l="1"/>
  <c r="Y101" i="24"/>
  <c r="Q110" i="24"/>
  <c r="T114" i="24"/>
  <c r="AJ78" i="24"/>
  <c r="CY18" i="15"/>
  <c r="BO36" i="15"/>
  <c r="E20" i="24"/>
  <c r="E30" i="24"/>
  <c r="F18" i="24"/>
  <c r="C27" i="23"/>
  <c r="F27" i="23" s="1"/>
  <c r="H27" i="23" s="1"/>
  <c r="K27" i="23" s="1"/>
  <c r="I38" i="23" s="1"/>
  <c r="C25" i="23"/>
  <c r="F25" i="23" s="1"/>
  <c r="H25" i="23" s="1"/>
  <c r="K25" i="23" s="1"/>
  <c r="G38" i="23" s="1"/>
  <c r="C28" i="23"/>
  <c r="F28" i="23" s="1"/>
  <c r="H28" i="23" s="1"/>
  <c r="K28" i="23" s="1"/>
  <c r="J38" i="23" s="1"/>
  <c r="C24" i="23"/>
  <c r="F24" i="23" s="1"/>
  <c r="H24" i="23" s="1"/>
  <c r="K24" i="23" s="1"/>
  <c r="F38" i="23" s="1"/>
  <c r="C22" i="23"/>
  <c r="F22" i="23" s="1"/>
  <c r="H22" i="23" s="1"/>
  <c r="K22" i="23" s="1"/>
  <c r="D38" i="23" s="1"/>
  <c r="C31" i="23"/>
  <c r="F31" i="23" s="1"/>
  <c r="H31" i="23" s="1"/>
  <c r="K31" i="23" s="1"/>
  <c r="M38" i="23" s="1"/>
  <c r="C29" i="23"/>
  <c r="F29" i="23" s="1"/>
  <c r="H29" i="23" s="1"/>
  <c r="K29" i="23" s="1"/>
  <c r="K38" i="23" s="1"/>
  <c r="C23" i="23"/>
  <c r="F23" i="23" s="1"/>
  <c r="H23" i="23" s="1"/>
  <c r="K23" i="23" s="1"/>
  <c r="E38" i="23" s="1"/>
  <c r="C21" i="23"/>
  <c r="F21" i="23" s="1"/>
  <c r="H21" i="23" s="1"/>
  <c r="K21" i="23" s="1"/>
  <c r="C38" i="23" s="1"/>
  <c r="C26" i="23"/>
  <c r="F26" i="23" s="1"/>
  <c r="H26" i="23" s="1"/>
  <c r="K26" i="23" s="1"/>
  <c r="H38" i="23" s="1"/>
  <c r="C30" i="23"/>
  <c r="F30" i="23" s="1"/>
  <c r="H30" i="23" s="1"/>
  <c r="K30" i="23" s="1"/>
  <c r="L38" i="23" s="1"/>
  <c r="F32" i="23"/>
  <c r="H32" i="23" s="1"/>
  <c r="K32" i="23" s="1"/>
  <c r="G87" i="18"/>
  <c r="Y95" i="24" l="1"/>
  <c r="P67" i="15"/>
  <c r="AJ86" i="24"/>
  <c r="CY11" i="15"/>
  <c r="AI101" i="24"/>
  <c r="N38" i="23"/>
  <c r="CX27" i="15"/>
  <c r="H88" i="18"/>
  <c r="G88" i="18"/>
  <c r="K33" i="23" l="1"/>
  <c r="P37" i="23" s="1"/>
  <c r="G114" i="18"/>
  <c r="CO24" i="15" s="1"/>
  <c r="AC158" i="24" l="1"/>
  <c r="AI97" i="24"/>
  <c r="CY23" i="15"/>
  <c r="CR81" i="15"/>
  <c r="Q37" i="23"/>
  <c r="G103" i="18"/>
  <c r="CN81" i="15" l="1"/>
  <c r="Y158" i="24"/>
  <c r="G104" i="18"/>
  <c r="AH158" i="24" l="1"/>
  <c r="Y156" i="24"/>
  <c r="CW81" i="15"/>
  <c r="CN79" i="15"/>
</calcChain>
</file>

<file path=xl/comments1.xml><?xml version="1.0" encoding="utf-8"?>
<comments xmlns="http://schemas.openxmlformats.org/spreadsheetml/2006/main">
  <authors>
    <author>Schmid, Werner (LEL-SG)</author>
  </authors>
  <commentList>
    <comment ref="AH150" authorId="0" shapeId="0">
      <text>
        <r>
          <rPr>
            <b/>
            <sz val="9"/>
            <color indexed="81"/>
            <rFont val="Segoe UI"/>
            <family val="2"/>
          </rPr>
          <t>Übergangsfrist:
EEG 2021 ; § 100 Abs. 9</t>
        </r>
      </text>
    </comment>
    <comment ref="AI150" authorId="0" shapeId="0">
      <text>
        <r>
          <rPr>
            <b/>
            <sz val="9"/>
            <color indexed="81"/>
            <rFont val="Segoe UI"/>
            <family val="2"/>
          </rPr>
          <t>Übergangsfrist:
EEG 2021 ; § 100 Abs. 9</t>
        </r>
      </text>
    </comment>
    <comment ref="AH151" authorId="0" shapeId="0">
      <text>
        <r>
          <rPr>
            <b/>
            <sz val="9"/>
            <color indexed="81"/>
            <rFont val="Segoe UI"/>
            <family val="2"/>
          </rPr>
          <t>Übergangsfrist:
EEG 2021 ; § 100 Abs. 9</t>
        </r>
      </text>
    </comment>
    <comment ref="AI151" authorId="0" shapeId="0">
      <text>
        <r>
          <rPr>
            <b/>
            <sz val="9"/>
            <color indexed="81"/>
            <rFont val="Segoe UI"/>
            <family val="2"/>
          </rPr>
          <t>Übergangsfrist:
EEG 2021 ; § 100 Abs. 9</t>
        </r>
      </text>
    </comment>
    <comment ref="AH152" authorId="0" shapeId="0">
      <text>
        <r>
          <rPr>
            <b/>
            <sz val="9"/>
            <color indexed="81"/>
            <rFont val="Segoe UI"/>
            <family val="2"/>
          </rPr>
          <t>Übergangsfrist:
EEG 2021 ; § 100 Abs. 9</t>
        </r>
      </text>
    </comment>
    <comment ref="AI152" authorId="0" shapeId="0">
      <text>
        <r>
          <rPr>
            <b/>
            <sz val="9"/>
            <color indexed="81"/>
            <rFont val="Segoe UI"/>
            <family val="2"/>
          </rPr>
          <t>Übergangsfrist:
EEG 2021 ; § 100 Abs. 9</t>
        </r>
      </text>
    </comment>
  </commentList>
</comments>
</file>

<file path=xl/comments2.xml><?xml version="1.0" encoding="utf-8"?>
<comments xmlns="http://schemas.openxmlformats.org/spreadsheetml/2006/main">
  <authors>
    <author>Werner</author>
  </authors>
  <commentList>
    <comment ref="AA4" authorId="0" shapeId="0">
      <text>
        <r>
          <rPr>
            <b/>
            <sz val="8"/>
            <color indexed="81"/>
            <rFont val="Tahoma"/>
            <family val="2"/>
          </rPr>
          <t>Werner:</t>
        </r>
        <r>
          <rPr>
            <sz val="8"/>
            <color indexed="81"/>
            <rFont val="Tahoma"/>
            <family val="2"/>
          </rPr>
          <t xml:space="preserve">
</t>
        </r>
      </text>
    </comment>
  </commentList>
</comments>
</file>

<file path=xl/sharedStrings.xml><?xml version="1.0" encoding="utf-8"?>
<sst xmlns="http://schemas.openxmlformats.org/spreadsheetml/2006/main" count="2449" uniqueCount="1232">
  <si>
    <t>Standort</t>
  </si>
  <si>
    <t>Ulm</t>
  </si>
  <si>
    <t>kWh/m², a</t>
  </si>
  <si>
    <t>Glob.strahl.</t>
  </si>
  <si>
    <t>Durchschnittlicher Monatsertrag der Anlage</t>
  </si>
  <si>
    <t>Vergütung</t>
  </si>
  <si>
    <t>Laufzeit:</t>
  </si>
  <si>
    <t>D) Sonstige Kosten</t>
  </si>
  <si>
    <t>Mai  2012</t>
  </si>
  <si>
    <t>Mai  2015</t>
  </si>
  <si>
    <t>Mai  2016</t>
  </si>
  <si>
    <t>April  2012</t>
  </si>
  <si>
    <t>Juni  2012</t>
  </si>
  <si>
    <t>Juli  2012</t>
  </si>
  <si>
    <t>August  2012</t>
  </si>
  <si>
    <t>Oktober  2012</t>
  </si>
  <si>
    <t>September  2012</t>
  </si>
  <si>
    <t>Dezember  2012</t>
  </si>
  <si>
    <t>April  2013</t>
  </si>
  <si>
    <t>Januar  2013</t>
  </si>
  <si>
    <t>März  2013</t>
  </si>
  <si>
    <t>Juni  2013</t>
  </si>
  <si>
    <t>Juli  2013</t>
  </si>
  <si>
    <t>September  2013</t>
  </si>
  <si>
    <t>Oktober  2013</t>
  </si>
  <si>
    <t>November  2013</t>
  </si>
  <si>
    <t>Dezember  2013</t>
  </si>
  <si>
    <t>Januar  2014</t>
  </si>
  <si>
    <t>März  2014</t>
  </si>
  <si>
    <t>April  2014</t>
  </si>
  <si>
    <t>Juni  2014</t>
  </si>
  <si>
    <t>Juli  2014</t>
  </si>
  <si>
    <t>September  2014</t>
  </si>
  <si>
    <t>November  2014</t>
  </si>
  <si>
    <t>Dezember  2014</t>
  </si>
  <si>
    <t>Februar  2015</t>
  </si>
  <si>
    <t>März  2015</t>
  </si>
  <si>
    <t>Juni  2015</t>
  </si>
  <si>
    <t>August  2015</t>
  </si>
  <si>
    <t>September  2015</t>
  </si>
  <si>
    <t>November  2015</t>
  </si>
  <si>
    <t>Dezember  2015</t>
  </si>
  <si>
    <t>jährlich</t>
  </si>
  <si>
    <t>Februar  2016</t>
  </si>
  <si>
    <t>März  2016</t>
  </si>
  <si>
    <t>Juni  2016</t>
  </si>
  <si>
    <t>Juli  2016</t>
  </si>
  <si>
    <t>August  2016</t>
  </si>
  <si>
    <t>September  2016</t>
  </si>
  <si>
    <t>Oktober  2016</t>
  </si>
  <si>
    <t>November  2016</t>
  </si>
  <si>
    <t>Dezember  2016</t>
  </si>
  <si>
    <t>ohne Mwst.</t>
  </si>
  <si>
    <t>Größe in kWp</t>
  </si>
  <si>
    <t>v</t>
  </si>
  <si>
    <t>e</t>
  </si>
  <si>
    <t>e= endgültig</t>
  </si>
  <si>
    <t>v=vorläufig</t>
  </si>
  <si>
    <t>Monat der</t>
  </si>
  <si>
    <t>Inbetriebnahme</t>
  </si>
  <si>
    <t>Januar  2012</t>
  </si>
  <si>
    <t>Februar  2012</t>
  </si>
  <si>
    <t>März  2012</t>
  </si>
  <si>
    <t>Januar  2011</t>
  </si>
  <si>
    <t>Februar  2011</t>
  </si>
  <si>
    <t>März  2011</t>
  </si>
  <si>
    <t>April  2011</t>
  </si>
  <si>
    <t>Mai  2011</t>
  </si>
  <si>
    <t>Juni  2011</t>
  </si>
  <si>
    <t>Juli  2011</t>
  </si>
  <si>
    <t>August  2011</t>
  </si>
  <si>
    <t>September  2011</t>
  </si>
  <si>
    <t>Oktober  2011</t>
  </si>
  <si>
    <t>November  2011</t>
  </si>
  <si>
    <t>Dezember  2011</t>
  </si>
  <si>
    <t>Januar  2010</t>
  </si>
  <si>
    <t>Februar  2010</t>
  </si>
  <si>
    <t>März  2010</t>
  </si>
  <si>
    <t>April  2010</t>
  </si>
  <si>
    <t>Mai  2010</t>
  </si>
  <si>
    <t>Juni  2010</t>
  </si>
  <si>
    <t>Juli  2010</t>
  </si>
  <si>
    <t>August  2010</t>
  </si>
  <si>
    <t>September  2010</t>
  </si>
  <si>
    <t>Oktober  2010</t>
  </si>
  <si>
    <t>November  2010</t>
  </si>
  <si>
    <t>Dezember  2010</t>
  </si>
  <si>
    <t>Januar  2009</t>
  </si>
  <si>
    <t>Februar  2009</t>
  </si>
  <si>
    <t>März  2009</t>
  </si>
  <si>
    <t>April  2009</t>
  </si>
  <si>
    <t>Mai  2009</t>
  </si>
  <si>
    <t>Juni  2009</t>
  </si>
  <si>
    <t>Juli  2009</t>
  </si>
  <si>
    <t>August  2009</t>
  </si>
  <si>
    <t>September  2009</t>
  </si>
  <si>
    <t>Oktober  2009</t>
  </si>
  <si>
    <t>November  2009</t>
  </si>
  <si>
    <t>Dezember  2009</t>
  </si>
  <si>
    <t>€/kWh</t>
  </si>
  <si>
    <t>Größe</t>
  </si>
  <si>
    <t>Vergütungssatz</t>
  </si>
  <si>
    <t xml:space="preserve">maximal für: </t>
  </si>
  <si>
    <t>max.</t>
  </si>
  <si>
    <t>Anteile</t>
  </si>
  <si>
    <r>
      <rPr>
        <sz val="9"/>
        <rFont val="Symbol"/>
        <family val="1"/>
        <charset val="2"/>
      </rPr>
      <t>Æ</t>
    </r>
    <r>
      <rPr>
        <sz val="9"/>
        <rFont val="Arial"/>
        <family val="2"/>
      </rPr>
      <t xml:space="preserve"> Jahresertrag</t>
    </r>
  </si>
  <si>
    <t>Größe der Anlage</t>
  </si>
  <si>
    <t>Kürzungssätze Eigenstromverbrauch</t>
  </si>
  <si>
    <t>Mindestverbrauch Eigenstrom</t>
  </si>
  <si>
    <t>Monat der Inbetriebnahme</t>
  </si>
  <si>
    <t>Anlagentyp</t>
  </si>
  <si>
    <t>Ertrag im 1. Jahr</t>
  </si>
  <si>
    <t>spezifischer Ertrag</t>
  </si>
  <si>
    <t>Prognose Inflation des Strompreises</t>
  </si>
  <si>
    <t>Begrenzung der Eigenverbrauchsvergütung:  max. bis</t>
  </si>
  <si>
    <t>Begrenzung</t>
  </si>
  <si>
    <t>Eigenverbrauch</t>
  </si>
  <si>
    <t>Mindesteigenverbrauch in kWh</t>
  </si>
  <si>
    <t>verrechneter Eigenverbrauch</t>
  </si>
  <si>
    <t>Ertrag</t>
  </si>
  <si>
    <t>in kWh</t>
  </si>
  <si>
    <t>Max. Anlagengröße</t>
  </si>
  <si>
    <t>in €/kWh</t>
  </si>
  <si>
    <t>Betrag</t>
  </si>
  <si>
    <t>in €</t>
  </si>
  <si>
    <t>Netzeinspeisung</t>
  </si>
  <si>
    <t>in %</t>
  </si>
  <si>
    <t>Jan</t>
  </si>
  <si>
    <t>%</t>
  </si>
  <si>
    <t>Feb</t>
  </si>
  <si>
    <t>Mär</t>
  </si>
  <si>
    <t>Apr</t>
  </si>
  <si>
    <t>Mai</t>
  </si>
  <si>
    <t>Jun</t>
  </si>
  <si>
    <t>Jul</t>
  </si>
  <si>
    <t>Aug</t>
  </si>
  <si>
    <t>Sep</t>
  </si>
  <si>
    <t>Okt</t>
  </si>
  <si>
    <t>Nov</t>
  </si>
  <si>
    <t>Dez</t>
  </si>
  <si>
    <t>Quelle: Deutscher Wetterdienst, Geschäftsfeld Klima- und Umweltberatung</t>
  </si>
  <si>
    <t>Tagessummen der Globalstrahlung auf die Horizontale</t>
  </si>
  <si>
    <t>Durchschnittliche Globalstrahlung pro Tag (kWh/m², Tag); Monatsmittelwerte</t>
  </si>
  <si>
    <t>(20 jährige Durchschnittswerte; Basisjahre:1981 - 2000)</t>
  </si>
  <si>
    <t>Ort</t>
  </si>
  <si>
    <t>Mrz</t>
  </si>
  <si>
    <t>Summe</t>
  </si>
  <si>
    <t>kWh/m²,J.</t>
  </si>
  <si>
    <t>Berlin</t>
  </si>
  <si>
    <t>Hamburg</t>
  </si>
  <si>
    <t>Dortmund</t>
  </si>
  <si>
    <t>Dresden</t>
  </si>
  <si>
    <t>Frankfurt a.M.</t>
  </si>
  <si>
    <t>Würzburg</t>
  </si>
  <si>
    <t>München</t>
  </si>
  <si>
    <t>Mannheim</t>
  </si>
  <si>
    <t>Stuttgart</t>
  </si>
  <si>
    <t>Ravensburg</t>
  </si>
  <si>
    <t>Freiburg</t>
  </si>
  <si>
    <t>ausgewählt:</t>
  </si>
  <si>
    <t>Prüfzeile:</t>
  </si>
  <si>
    <r>
      <t xml:space="preserve">im  Jahresverlauf; </t>
    </r>
    <r>
      <rPr>
        <sz val="10"/>
        <rFont val="Arial"/>
        <family val="2"/>
      </rPr>
      <t>Standort:</t>
    </r>
  </si>
  <si>
    <t>Art der Anlage</t>
  </si>
  <si>
    <t>VERGÜTUNGSSÄTZE und STAMMDATEN:</t>
  </si>
  <si>
    <t>Mwst.-</t>
  </si>
  <si>
    <t>Satz</t>
  </si>
  <si>
    <t>Dachanlage</t>
  </si>
  <si>
    <t>Anlagentyp:</t>
  </si>
  <si>
    <t>Zentrales Rechen Blatt (ZRB)</t>
  </si>
  <si>
    <t>Anlagengrößen-Typ</t>
  </si>
  <si>
    <t>Standort:</t>
  </si>
  <si>
    <t>Dachanlage; bis 12/2009:</t>
  </si>
  <si>
    <r>
      <t>Dachanlage; bis 12/2009 (</t>
    </r>
    <r>
      <rPr>
        <sz val="10"/>
        <color indexed="10"/>
        <rFont val="Arial"/>
        <family val="2"/>
      </rPr>
      <t>falsch</t>
    </r>
    <r>
      <rPr>
        <sz val="10"/>
        <rFont val="Arial"/>
        <family val="2"/>
      </rPr>
      <t>):</t>
    </r>
  </si>
  <si>
    <t>Ö</t>
  </si>
  <si>
    <t>Formatierung: Förderung der Eigenstromnutzung</t>
  </si>
  <si>
    <t>Text: Förderung der Eigenstromnutzung</t>
  </si>
  <si>
    <t>Dachanlage; 01 bis 06/2010:</t>
  </si>
  <si>
    <t>Die Förderung der Eigenstromnutzung ist 2009 auf Dachanlagen bis 30 kWp beschränkt. Für größere Anlagen wird keine zusätzliche Förderung für Eigenstromnutzung gewährt. Eigenstrom "kostet" 0,4301 €/kWh, da für eigengenutzten Strom keine Einspeisevergütung gewährt wird.</t>
  </si>
  <si>
    <t>Die Förderung der Eigenstromnutzung ist im 1. Halbjahr 2010 auf Dachanlagen bis 30 kWp beschränkt. Für größere Anlagen wird keine zusätzliche Förderung für Eigenstromnutzung gewährt. Eigenstrom "kostet" 0,3914 €/kWh, da für eigengenutzten Strom keine Einspeisevergütung gewährt wird.</t>
  </si>
  <si>
    <t>Dachanlage; 07 bis 12/2010:</t>
  </si>
  <si>
    <t>Die Förderung der Eigenstromnutzung ist 2009 auf Dachanlagen bis 30 kWp beschränkt. Für die eigen verbrauchte Strommenge erhält der Anlagenbetreiber eine um 0,1800 €/kWh gekürzte Einspeisevergütung (für 2009 gilt:  0,4301 - 0,1800 = 0,2501 €/kWh).</t>
  </si>
  <si>
    <t>Die Förderung der Eigenstromnutzung ist im 1. Hj. 2010 auf Dachanlagen bis 30 kWp beschränkt. Für die eigen verbrauchte Strommenge erhält der Anlagenbetreiber eine um 0,1638 €/kWh gekürzte Einspeisevergütung (für  1. Hj. 2010 gilt:  0,3914 - 0,1638 = 0,2276 €/kWh).</t>
  </si>
  <si>
    <t>Die Förderung der Eigenstromnutzung ist im 2. Hj. 2010 auf Dachanlagen bis 500 kWp beschränkt. Für Stromeigenverbrauch erhält der Anlagenbetreiber eine um 0,1638 €/kWh (bis 30%) bzw. 0,1200 €/kWh (über 30%) gekürzte Einspeisevergütung.</t>
  </si>
  <si>
    <r>
      <t>Dachanlage; 07 bis 12/2010 (</t>
    </r>
    <r>
      <rPr>
        <sz val="10"/>
        <color indexed="10"/>
        <rFont val="Arial"/>
        <family val="2"/>
      </rPr>
      <t>falsch</t>
    </r>
    <r>
      <rPr>
        <sz val="10"/>
        <rFont val="Arial"/>
        <family val="2"/>
      </rPr>
      <t>):</t>
    </r>
  </si>
  <si>
    <r>
      <t>Dachanlage; 01 bis 06/2010 (</t>
    </r>
    <r>
      <rPr>
        <sz val="10"/>
        <color indexed="10"/>
        <rFont val="Arial"/>
        <family val="2"/>
      </rPr>
      <t>falsch</t>
    </r>
    <r>
      <rPr>
        <sz val="10"/>
        <rFont val="Arial"/>
        <family val="2"/>
      </rPr>
      <t>):</t>
    </r>
  </si>
  <si>
    <t>Dachanlage; 01 bis 12/2011:</t>
  </si>
  <si>
    <r>
      <t>Dachanlage; 01 bis 12/2011 (</t>
    </r>
    <r>
      <rPr>
        <sz val="10"/>
        <color indexed="10"/>
        <rFont val="Arial"/>
        <family val="2"/>
      </rPr>
      <t>falsch</t>
    </r>
    <r>
      <rPr>
        <sz val="10"/>
        <rFont val="Arial"/>
        <family val="2"/>
      </rPr>
      <t>):</t>
    </r>
  </si>
  <si>
    <t>Die Förderung der Eigenstromnutzung ist 2011 auf Dachanlagen bis 500 kWp beschränkt. Für Stromeigenverbrauch erhält der Anlagenbetreiber eine um 0,1638 €/kWh (bis 30%) bzw. 0,1200 €/kWh (über 30%) gekürzte Einspeisevergütung.</t>
  </si>
  <si>
    <t>Die Förderung der Eigenstromnutzung ist 2011 auf Dachanlagen bis 500 kWp beschränkt. Für größere Anlagen wird keine zusätzliche Förderung für Eigenstromnutzung gewährt. Die Eigenstromkosten liegen in Höhe der Einspeisevergütungen, da für Eigenstromnutzung keine Vergütung gewährt wird.</t>
  </si>
  <si>
    <t>Die Förderung der Eigenstromnutzung ist im 2. Halbjahr 2010 auf Dachanlagen bis 500 kWp beschränkt. Für größere Anlagen wird keine zusätzliche Förderung für Eigenstromnutzung gewährt. Die Eigenstromkosten liegen in Höhe der Einspeisevergütungen, da für Eigenstromnutzung keine Vergütung gewährt wird.</t>
  </si>
  <si>
    <t>Dachanlage; 01 bis 03/2012:</t>
  </si>
  <si>
    <r>
      <t>Dachanlage; 01 bis 03/2012 (</t>
    </r>
    <r>
      <rPr>
        <sz val="10"/>
        <color indexed="10"/>
        <rFont val="Arial"/>
        <family val="2"/>
      </rPr>
      <t>falsch</t>
    </r>
    <r>
      <rPr>
        <sz val="10"/>
        <rFont val="Arial"/>
        <family val="2"/>
      </rPr>
      <t>):</t>
    </r>
  </si>
  <si>
    <t>Die Förderung der Eigenstromnutzung ist im 1. Quartal 2012 auf Dachanlagen bis 500 kWp beschränkt. Für Stromeigenverbrauch erhält der Anlagenbetreiber eine um 0,1638 €/kWh (bis 30%) bzw. 0,1200 €/kWh (über 30%) gekürzte Einspeisevergütung. Ab 04/2012 entfällt die Eigenstromförderung !</t>
  </si>
  <si>
    <t>Die Förderung der Eigenstromnutzung ist im 1. Quartal 2012 auf Dachanlagen bis 500 kWp beschränkt. Für größere Anlagen wird keine zusätzliche Förderung für Eigenstromnutzung gewährt. Die Eigenstromkosten liegen in Höhe der Einspeisevergütungen, da für Eigenstromnutzung keine Vergütung gewährt wird.</t>
  </si>
  <si>
    <t>Dachanlage; nach 04/2012:</t>
  </si>
  <si>
    <t>Freilandanlage:</t>
  </si>
  <si>
    <t xml:space="preserve">PV-Anlage (Herstellungskosten) </t>
  </si>
  <si>
    <t>kWh/ m², Tag</t>
  </si>
  <si>
    <t>kWh/Tag</t>
  </si>
  <si>
    <t>Mindesteigenverbrauch 0 - 10 kWp</t>
  </si>
  <si>
    <t>Mindesteigenverbrauch 10 - 1000 kWp</t>
  </si>
  <si>
    <t>Mindesteigenverbrauch in %  (gültig)</t>
  </si>
  <si>
    <t>Anlagenlaufzeit  (Laufzeit Module)</t>
  </si>
  <si>
    <t>SHKW - Nutzungszeitraum</t>
  </si>
  <si>
    <t>gesamt</t>
  </si>
  <si>
    <t>Eigenstrom</t>
  </si>
  <si>
    <t>Kontrolle:</t>
  </si>
  <si>
    <t>Herstellungskosten gesamt - je kWp</t>
  </si>
  <si>
    <t>A) Kapitalgebundene Kosten</t>
  </si>
  <si>
    <t>C) Betriebsgebundene Kosten</t>
  </si>
  <si>
    <t>Kapitalgebundene Kosten (PV-Anlage)</t>
  </si>
  <si>
    <t>B) Verbrauchsgebundene Kosten (ohne Brennstoffkosten)</t>
  </si>
  <si>
    <t>Mindesteigenverbrauch 1000-10000 kWp</t>
  </si>
  <si>
    <t>Stromverkauf</t>
  </si>
  <si>
    <t>Verkauf</t>
  </si>
  <si>
    <t>Strom-</t>
  </si>
  <si>
    <t xml:space="preserve"> gesamt</t>
  </si>
  <si>
    <t>max. EEG-Vergütungs- Laufzeit</t>
  </si>
  <si>
    <t>Vergütungsanteil Stromverkauf EEG</t>
  </si>
  <si>
    <t>Vergütungsanteil Stromverkauf frei</t>
  </si>
  <si>
    <t>Erlös Stromverkauf außerhlab EEG</t>
  </si>
  <si>
    <t>Verzinsung des Kapitals</t>
  </si>
  <si>
    <t>Eigenstromvergütung</t>
  </si>
  <si>
    <t>max. Größe Eigenstrom-Anlage</t>
  </si>
  <si>
    <t>Vergüt(100%)</t>
  </si>
  <si>
    <t>Preis</t>
  </si>
  <si>
    <t>Kürzung</t>
  </si>
  <si>
    <t>Hinweistexte (Blatt:  Planung_SHKW):</t>
  </si>
  <si>
    <t>Hinweistexte (Blatt:  Herstellungkosten_Kalkulation):</t>
  </si>
  <si>
    <t xml:space="preserve">Für Freilandanlagen wurde zu keiner Zeit eine Förderung der Eigenstromnutzung gewährt. </t>
  </si>
  <si>
    <t xml:space="preserve">Dachanlagen über 30 kWp erhalten keine Förderung der Eigenstromnutzung  zwischen 01/2009 und 06/2010. </t>
  </si>
  <si>
    <t>Dachanlage; bis 06/2010:</t>
  </si>
  <si>
    <r>
      <t>Dachanlage; bis 06/2010 (</t>
    </r>
    <r>
      <rPr>
        <sz val="10"/>
        <color indexed="10"/>
        <rFont val="Arial"/>
        <family val="2"/>
      </rPr>
      <t>falsch</t>
    </r>
    <r>
      <rPr>
        <sz val="10"/>
        <rFont val="Arial"/>
        <family val="2"/>
      </rPr>
      <t>):</t>
    </r>
  </si>
  <si>
    <t>Dachanlage; 07/2010 bis 03/2012:</t>
  </si>
  <si>
    <r>
      <t>Dachanlage 07/10-03/2012 (</t>
    </r>
    <r>
      <rPr>
        <sz val="10"/>
        <color indexed="10"/>
        <rFont val="Arial"/>
        <family val="2"/>
      </rPr>
      <t>falsch</t>
    </r>
    <r>
      <rPr>
        <sz val="10"/>
        <rFont val="Arial"/>
        <family val="2"/>
      </rPr>
      <t>):</t>
    </r>
  </si>
  <si>
    <t xml:space="preserve">Dachanlagen über 500 kWp erhalten keine Förderung der Eigenstromnutzung  zwischen 07/2010 und 03/2012. </t>
  </si>
  <si>
    <t>Ab 04/2012 entfällt die Förderung der Eigenstromnutzung durch das EEG. Es wird kein Eigenverbrauchsbonus mehr gewährt.</t>
  </si>
  <si>
    <t>Formatierung: Bereich Eigenverbrauchsbonus</t>
  </si>
  <si>
    <t>bis</t>
  </si>
  <si>
    <t>Kein Eigenverbrauch eingeplant</t>
  </si>
  <si>
    <t>LEER Eigenverbrauch =0</t>
  </si>
  <si>
    <t>LEER keine Anlage geplant</t>
  </si>
  <si>
    <t>keine Anlage erfasst !!</t>
  </si>
  <si>
    <t>Strompreis heute</t>
  </si>
  <si>
    <t>durchschnittlicher Strompreis</t>
  </si>
  <si>
    <t>Ertrag im 1. Jahr:</t>
  </si>
  <si>
    <t xml:space="preserve">Sonstiges (Herstellungskosten) </t>
  </si>
  <si>
    <t>Kapitalgebundene Kosten (Sonstiges)</t>
  </si>
  <si>
    <t>Herstellungskosten gesamt (PV &amp; Sonstiges)</t>
  </si>
  <si>
    <t>Balken</t>
  </si>
  <si>
    <t>Grafikdaten Ertrag</t>
  </si>
  <si>
    <t>Mittelwert</t>
  </si>
  <si>
    <t>unterer Wert</t>
  </si>
  <si>
    <t>oberer Wert</t>
  </si>
  <si>
    <t>Markierung</t>
  </si>
  <si>
    <t>Jahresertrag</t>
  </si>
  <si>
    <t>Tage/Monat</t>
  </si>
  <si>
    <t>y-Achse:</t>
  </si>
  <si>
    <t xml:space="preserve">Æ </t>
  </si>
  <si>
    <t>kWh/kWp,Tag</t>
  </si>
  <si>
    <t>kWh / Tag</t>
  </si>
  <si>
    <t>high*</t>
  </si>
  <si>
    <t>low*</t>
  </si>
  <si>
    <t>Grafikdaten:</t>
  </si>
  <si>
    <t>unten</t>
  </si>
  <si>
    <t>oben</t>
  </si>
  <si>
    <t>Systemalterung</t>
  </si>
  <si>
    <t>Stromverwendung</t>
  </si>
  <si>
    <t xml:space="preserve">Eigenverbrauch </t>
  </si>
  <si>
    <t>Hilfsstrom</t>
  </si>
  <si>
    <t>PV-Versicherung</t>
  </si>
  <si>
    <t>Wechselrichter</t>
  </si>
  <si>
    <t>Kosten</t>
  </si>
  <si>
    <t>Text Eigenverbrauch</t>
  </si>
  <si>
    <t>aktuell</t>
  </si>
  <si>
    <t>Zählermiete (an Netzbetreiber)</t>
  </si>
  <si>
    <t>Grafikdaten Kosten</t>
  </si>
  <si>
    <t>Mindesteigenverbrauch</t>
  </si>
  <si>
    <t>- Stromverkauf</t>
  </si>
  <si>
    <t>- EVB-Bonus</t>
  </si>
  <si>
    <t>Kosten EVB</t>
  </si>
  <si>
    <t>EVB (kWh)</t>
  </si>
  <si>
    <t>je kWh</t>
  </si>
  <si>
    <t>Laufzeit der Anlage</t>
  </si>
  <si>
    <t>untere Anzeigegrenze</t>
  </si>
  <si>
    <t>obere Anzeigegrenze</t>
  </si>
  <si>
    <t>€ / kWh</t>
  </si>
  <si>
    <t>Vorteil bei Eigenstromverbrauch</t>
  </si>
  <si>
    <t>Gesamtvorteil bei Eigenstromverbrauch</t>
  </si>
  <si>
    <t>keine Ergebnisdarstellung bei:  Anlagekosten kleiner ( &lt;)</t>
  </si>
  <si>
    <t>keine Ergebnisdarstellung bei:  Größe der Anlage = 0</t>
  </si>
  <si>
    <t>Verzinsung gesamt</t>
  </si>
  <si>
    <t>Solarertrag</t>
  </si>
  <si>
    <t xml:space="preserve">(Freiland-/ Dachanlage)   </t>
  </si>
  <si>
    <t xml:space="preserve">(12 Standorte zur Wahl)         </t>
  </si>
  <si>
    <t xml:space="preserve">( ab 01/2009)  </t>
  </si>
  <si>
    <t>kWh/kWp</t>
  </si>
  <si>
    <r>
      <t xml:space="preserve">Æ </t>
    </r>
    <r>
      <rPr>
        <b/>
        <sz val="10"/>
        <rFont val="Arial"/>
        <family val="2"/>
      </rPr>
      <t>*</t>
    </r>
  </si>
  <si>
    <t xml:space="preserve"> Förderung der Eigenstromnutzung</t>
  </si>
  <si>
    <t>o. Mwst.</t>
  </si>
  <si>
    <t xml:space="preserve"> Jahreskosten</t>
  </si>
  <si>
    <t xml:space="preserve"> Herstellungskosten</t>
  </si>
  <si>
    <t xml:space="preserve">(Annuitätenmethode)         </t>
  </si>
  <si>
    <t>Steuererklärungen (Umsatz- / Ertragsteuer)</t>
  </si>
  <si>
    <t>Inbetriebnahme-Monat</t>
  </si>
  <si>
    <t>Jahreskosten der Anlage (ohne Stromkosten)</t>
  </si>
  <si>
    <t>PV-Anlage (Module, AC &amp; DC-Kabel, etc.)</t>
  </si>
  <si>
    <t>Strom - Eigenverbrauch in Prozent (%)</t>
  </si>
  <si>
    <t>A) Kapitalgebundene Kosten (jährlich)</t>
  </si>
  <si>
    <t>B) Verbrauchsgebundene Kosten (jährlich)</t>
  </si>
  <si>
    <t>C) Betriebsgebundene Kosten (jährlich)</t>
  </si>
  <si>
    <t>D) Sonstige Kosten (jährlich)</t>
  </si>
  <si>
    <t xml:space="preserve"> VORTEIL der Eigenstromnutzung</t>
  </si>
  <si>
    <t>Prognose:</t>
  </si>
  <si>
    <t>Inflationsrate Strompreis</t>
  </si>
  <si>
    <t>Ø Strompreis</t>
  </si>
  <si>
    <t>Jahre</t>
  </si>
  <si>
    <t>Unterkonstruktion / Montagegestell</t>
  </si>
  <si>
    <t>Eigenverbrauch aktuell</t>
  </si>
  <si>
    <r>
      <t xml:space="preserve">Strom-Bezugspreis heute </t>
    </r>
    <r>
      <rPr>
        <b/>
        <sz val="9"/>
        <rFont val="Arial"/>
        <family val="2"/>
      </rPr>
      <t>(ohne Mwst.)</t>
    </r>
  </si>
  <si>
    <t>Kosten des Eigenstromverbrauchs (in €/kWh)</t>
  </si>
  <si>
    <t xml:space="preserve">  Jährliche Kosten der Anlage (ohne Stromkosten)</t>
  </si>
  <si>
    <t>= jährliche Kosten des Eigenstromverbrauchs (gesamt):</t>
  </si>
  <si>
    <r>
      <rPr>
        <sz val="10"/>
        <rFont val="Calibri"/>
        <family val="2"/>
      </rPr>
      <t>Ø</t>
    </r>
    <r>
      <rPr>
        <sz val="10"/>
        <rFont val="Arial"/>
        <family val="2"/>
      </rPr>
      <t xml:space="preserve"> Solarertrag pro Jahr</t>
    </r>
  </si>
  <si>
    <t xml:space="preserve"> Kosten des Eigenstromverbrauchs</t>
  </si>
  <si>
    <r>
      <t xml:space="preserve">&gt;&gt; Eigenstrom-Verbrauch </t>
    </r>
    <r>
      <rPr>
        <sz val="9"/>
        <rFont val="Arial"/>
        <family val="2"/>
      </rPr>
      <t>(in % des Solarertrags bzw. kWh/a)</t>
    </r>
  </si>
  <si>
    <r>
      <t>Strom-Eigenverbrauchsbonus</t>
    </r>
    <r>
      <rPr>
        <sz val="9"/>
        <rFont val="Arial"/>
        <family val="2"/>
      </rPr>
      <t xml:space="preserve"> (01/2009 bis 03/2012)</t>
    </r>
  </si>
  <si>
    <t>- Strom-Eigenverbrauchsbonus</t>
  </si>
  <si>
    <t>- Erlöse Einspeisevergütung &amp; Eigenvermarktung  (Stromverkauf)</t>
  </si>
  <si>
    <t>o.Mwst.</t>
  </si>
  <si>
    <t>Wartung / Instandhalt. Technik</t>
  </si>
  <si>
    <t>Für Freilandanlagen wurde zu keiner Zeit eine Förderung der Eigenstromnutzung gewährt.</t>
  </si>
  <si>
    <t>© Werner Schmid</t>
  </si>
  <si>
    <t>Haupt-
menü</t>
  </si>
  <si>
    <t>Anlage</t>
  </si>
  <si>
    <t>- abzgl. System- Alterung</t>
  </si>
  <si>
    <t>PV - Eigenstromrechner</t>
  </si>
  <si>
    <t xml:space="preserve"> Eingabefelder</t>
  </si>
  <si>
    <t>ANLAGE</t>
  </si>
  <si>
    <r>
      <t xml:space="preserve">Standort </t>
    </r>
    <r>
      <rPr>
        <sz val="9"/>
        <rFont val="Arial"/>
        <family val="2"/>
      </rPr>
      <t>(Region)</t>
    </r>
  </si>
  <si>
    <t>KOSTEN</t>
  </si>
  <si>
    <t>Herstellungskosten PV-Anlage</t>
  </si>
  <si>
    <t>Herstellungskosten Sonstiges</t>
  </si>
  <si>
    <t>Herstellungskosten</t>
  </si>
  <si>
    <t>Jahreskosten</t>
  </si>
  <si>
    <t>Dimensionierung</t>
  </si>
  <si>
    <t>Solarertrag (Prognose)</t>
  </si>
  <si>
    <t>A) Kapitalgebundene Kosten (ohne Zinsansatz)</t>
  </si>
  <si>
    <t>B) Verbrauchsgebundene Kosten</t>
  </si>
  <si>
    <t xml:space="preserve">Erlöse </t>
  </si>
  <si>
    <t>Erlöse</t>
  </si>
  <si>
    <t>davon Netzeinspeisung</t>
  </si>
  <si>
    <t>Kosten der Eigenstromnutzung</t>
  </si>
  <si>
    <r>
      <rPr>
        <b/>
        <sz val="9"/>
        <color indexed="14"/>
        <rFont val="Arial"/>
        <family val="2"/>
      </rPr>
      <t>Laufzeit</t>
    </r>
    <r>
      <rPr>
        <sz val="9"/>
        <rFont val="Arial"/>
        <family val="2"/>
      </rPr>
      <t xml:space="preserve"> der PV-Anlage</t>
    </r>
  </si>
  <si>
    <r>
      <t xml:space="preserve">davon </t>
    </r>
    <r>
      <rPr>
        <b/>
        <sz val="9"/>
        <color indexed="14"/>
        <rFont val="Arial"/>
        <family val="2"/>
      </rPr>
      <t>Eigenstromverbrauch</t>
    </r>
  </si>
  <si>
    <t>Erlöserwartung</t>
  </si>
  <si>
    <t>(hier klicken)</t>
  </si>
  <si>
    <r>
      <rPr>
        <b/>
        <sz val="9"/>
        <color indexed="14"/>
        <rFont val="Arial"/>
        <family val="2"/>
      </rPr>
      <t>Verzinsung *</t>
    </r>
    <r>
      <rPr>
        <sz val="9"/>
        <rFont val="Arial"/>
        <family val="2"/>
      </rPr>
      <t xml:space="preserve"> des Kapitals</t>
    </r>
  </si>
  <si>
    <t>* Annuitätenmethode</t>
  </si>
  <si>
    <t>Kosten Eigenstrom</t>
  </si>
  <si>
    <t xml:space="preserve">Druck </t>
  </si>
  <si>
    <t>(bitte Klicken um die Blätter aufzurufen)</t>
  </si>
  <si>
    <t xml:space="preserve"> Eingaben erfolgen durch Pfeiltasten</t>
  </si>
  <si>
    <t>Info: Durchschnittliche Vergütung bei 100% Stromverkauf</t>
  </si>
  <si>
    <t>Dachanlagen</t>
  </si>
  <si>
    <t>Freilandanlagen</t>
  </si>
  <si>
    <t>Grafikdaten</t>
  </si>
  <si>
    <t>geplante Laufzeit der Anlage</t>
  </si>
  <si>
    <t>Solarertrag im 1. Jahr</t>
  </si>
  <si>
    <t>Eigenstromverwendung</t>
  </si>
  <si>
    <t>&gt;&gt; Stromverkauf / Netzeinspeisung</t>
  </si>
  <si>
    <r>
      <t xml:space="preserve">Erlöse Stromverkauf / Netzeinspeisung; </t>
    </r>
    <r>
      <rPr>
        <sz val="9"/>
        <rFont val="Symbol"/>
        <family val="1"/>
        <charset val="2"/>
      </rPr>
      <t>Æ</t>
    </r>
    <r>
      <rPr>
        <sz val="9"/>
        <rFont val="Arial"/>
        <family val="2"/>
      </rPr>
      <t xml:space="preserve"> jährlich</t>
    </r>
  </si>
  <si>
    <t>Strom-Eigenverbrauchsbonus</t>
  </si>
  <si>
    <t>Ein Stromeigenverbrauchsbonus wurde nur für Anlagen v. 01/2009 bis 03/2012 gewährt.</t>
  </si>
  <si>
    <t>Erlöse Stromverkauf / Eigenverbrauchsbonus</t>
  </si>
  <si>
    <r>
      <t xml:space="preserve">Standort </t>
    </r>
    <r>
      <rPr>
        <sz val="11"/>
        <rFont val="Arial"/>
        <family val="2"/>
      </rPr>
      <t>(Region)</t>
    </r>
  </si>
  <si>
    <t>(ohne Mwst.)</t>
  </si>
  <si>
    <t>Programmbeschreibung</t>
  </si>
  <si>
    <t>Programmvoraussetzungen</t>
  </si>
  <si>
    <t>Das Programm ist auf anderer Sofware (z.B. OpenOffice) leider nicht lauffähig.</t>
  </si>
  <si>
    <t>Das vorliegenden Programm soll</t>
  </si>
  <si>
    <t>www.lel-bw.de</t>
  </si>
  <si>
    <t>1.</t>
  </si>
  <si>
    <r>
      <t>Ergebnisse:</t>
    </r>
    <r>
      <rPr>
        <b/>
        <sz val="12"/>
        <rFont val="Arial"/>
        <family val="2"/>
      </rPr>
      <t xml:space="preserve"> </t>
    </r>
    <r>
      <rPr>
        <sz val="10"/>
        <rFont val="Arial"/>
        <family val="2"/>
      </rPr>
      <t xml:space="preserve">Folgende Parameter </t>
    </r>
    <r>
      <rPr>
        <sz val="10"/>
        <rFont val="Arial"/>
      </rPr>
      <t>werden berechnet:</t>
    </r>
  </si>
  <si>
    <t>Hinweis: In der Anwendung werden ausschließlich Daten ohne Mehrwertsteuer verrechnet. D.h. im Bereich der</t>
  </si>
  <si>
    <t>Umsatzsteuer wird Regelbesteuerung unterstellt, der Anlagenbetreiber erklärt diese gegenüber dem Finanzamt.</t>
  </si>
  <si>
    <t>2.</t>
  </si>
  <si>
    <t>2.1.</t>
  </si>
  <si>
    <r>
      <t xml:space="preserve">  Strom-Produktionsleistung der Anlage bei idealer Einstrahlung</t>
    </r>
    <r>
      <rPr>
        <sz val="8"/>
        <rFont val="Arial"/>
        <family val="2"/>
      </rPr>
      <t xml:space="preserve"> (Leistung unter Normbedingungen)</t>
    </r>
    <r>
      <rPr>
        <sz val="10"/>
        <rFont val="Arial"/>
      </rPr>
      <t>.</t>
    </r>
  </si>
  <si>
    <t>(Voreinstellung: Standort = Stuttgart)</t>
  </si>
  <si>
    <t>2.2.</t>
  </si>
  <si>
    <t xml:space="preserve">  </t>
  </si>
  <si>
    <t>2.3.</t>
  </si>
  <si>
    <t>(Voreinstellung: 930 kWh / kWp)</t>
  </si>
  <si>
    <r>
      <t xml:space="preserve"> -</t>
    </r>
    <r>
      <rPr>
        <b/>
        <i/>
        <sz val="10"/>
        <color indexed="57"/>
        <rFont val="Arial"/>
        <family val="2"/>
      </rPr>
      <t>System - Alterung:</t>
    </r>
    <r>
      <rPr>
        <sz val="10"/>
        <rFont val="Arial"/>
      </rPr>
      <t xml:space="preserve"> Das Gesamtsystem kann einer gewissen Alterung unterliegen. Diese beträgt bei</t>
    </r>
  </si>
  <si>
    <t xml:space="preserve">  Systemen mit mono- bzw. polykristallinen Si-Modulen  i.d.R. weniger als 0,5% jährlich. Für Systeme</t>
  </si>
  <si>
    <t xml:space="preserve">  Die Modulhersteller sichern meist Leistungsgarantien  von mind. 80% und mehr für eine Laufzeit </t>
  </si>
  <si>
    <t xml:space="preserve">  von 20 bis 25 Jahre (bei Glas-Glas-Modulen sogar in Einzelfällen bis 30 Jahre) zu.</t>
  </si>
  <si>
    <t>(Voreinstellung: 0,5% Alterung jährlich)</t>
  </si>
  <si>
    <t>2.4.</t>
  </si>
  <si>
    <t>2.5.</t>
  </si>
  <si>
    <t>2.6.</t>
  </si>
  <si>
    <t>2.7.</t>
  </si>
  <si>
    <t>Herausgeber:</t>
  </si>
  <si>
    <t>Landesanstalt für Entwicklung der Landwirtschaft und der ländlichen Räume (LEL)</t>
  </si>
  <si>
    <t xml:space="preserve">Oberbettringer Straße 162; 73525 Schwäbisch Gmünd; </t>
  </si>
  <si>
    <t>Tel.: 07171 / 917-100; Fax: 07171 / 917-101; E-Mail: poststelle@lel.bwl.de</t>
  </si>
  <si>
    <t>Ansprechpartner zum Programm: Herr Schmid (Tel. 07171 / 917-207;    E-Mail: werner.schmid@lel.bwl.de)</t>
  </si>
  <si>
    <t>Für Kommentare, Anregungen und Verbesserungsvorschläge  sind wir jederzeit dankbar!</t>
  </si>
  <si>
    <t xml:space="preserve">Sorgfalt erstellt und getestet. Für Aktualität, Korrektheit, Vollständigkeit oder Qualität  </t>
  </si>
  <si>
    <t>wird jedoch keine Gewähr übernommen. Haftungsansprüche für Schäden materieller oder</t>
  </si>
  <si>
    <t>oder immaterieller Art, die durch die Nutzung oder Nichtnutzung des Programms verursacht</t>
  </si>
  <si>
    <t>werden sind grundsätzlich ausgeschlossen, sofern seitens des Autors oder Herausgebers</t>
  </si>
  <si>
    <t>kein nachweislich vorsätzliches oder grob fahrlässiges Verschulden vorliegt.</t>
  </si>
  <si>
    <t>Die Veränderung dieser Datei und die Weitergabe veränderter Kopien ist ausdrücklich untersagt.</t>
  </si>
  <si>
    <t>Die Weitergabe unveränderter Kopien ist zulässig !</t>
  </si>
  <si>
    <t>PV-Eigenstrom-
Rechner</t>
  </si>
  <si>
    <t>Das vorliegenden Programm benötigt mindestens Microsoft Excel 2003 als Basis-Software.</t>
  </si>
  <si>
    <r>
      <t>Hilfestellungen bei der Investitionsentscheidung "Photovoltaikanlage"</t>
    </r>
    <r>
      <rPr>
        <sz val="10"/>
        <rFont val="Arial"/>
      </rPr>
      <t xml:space="preserve"> geben.</t>
    </r>
  </si>
  <si>
    <t xml:space="preserve">   Wird PV-Strom teilweise selbst verbraucht entstehen dafür Kosten. Diese werden</t>
  </si>
  <si>
    <t xml:space="preserve">  in €/kWh Eigenstromverbrauch ausgewiesen.</t>
  </si>
  <si>
    <t xml:space="preserve">   Verteilt man die gesamten durchschnittlichen Jahreskosten auf den durchschnittlichen</t>
  </si>
  <si>
    <r>
      <t xml:space="preserve">   Errechnet wird der durchschnittliche jährlichliche Vorteil der Eigenstromnutzung</t>
    </r>
    <r>
      <rPr>
        <b/>
        <sz val="10"/>
        <rFont val="Arial"/>
        <family val="2"/>
      </rPr>
      <t xml:space="preserve"> </t>
    </r>
    <r>
      <rPr>
        <b/>
        <sz val="10"/>
        <color indexed="12"/>
        <rFont val="Arial"/>
        <family val="2"/>
      </rPr>
      <t xml:space="preserve"> </t>
    </r>
  </si>
  <si>
    <t xml:space="preserve">   gegenüber dem Strombezug aus dem öffentlichen Netz.</t>
  </si>
  <si>
    <t xml:space="preserve"> - Ø Kosten des Eigenstromverbrauchs bei einem definierten Eigenstromanteil</t>
  </si>
  <si>
    <t xml:space="preserve"> - Ø Vollkosten des PV-Stroms</t>
  </si>
  <si>
    <t xml:space="preserve"> - Ø Vorteil der Eigenstromnutzung gegenüber dem Strombezug</t>
  </si>
  <si>
    <t xml:space="preserve">   Jahresertrag der Anlage erhält man die Vollkosten einer Kilowattstunde.</t>
  </si>
  <si>
    <r>
      <t xml:space="preserve"> -</t>
    </r>
    <r>
      <rPr>
        <b/>
        <i/>
        <sz val="10"/>
        <color indexed="57"/>
        <rFont val="Arial"/>
        <family val="2"/>
      </rPr>
      <t>Größe in kWp</t>
    </r>
    <r>
      <rPr>
        <sz val="10"/>
        <rFont val="Arial"/>
      </rPr>
      <t xml:space="preserve">: Erfassung in kWp (Kilowatt peak; entspricht  ca. der maximalen </t>
    </r>
  </si>
  <si>
    <r>
      <t xml:space="preserve"> -</t>
    </r>
    <r>
      <rPr>
        <b/>
        <i/>
        <sz val="10"/>
        <color indexed="57"/>
        <rFont val="Arial"/>
        <family val="2"/>
      </rPr>
      <t>Art der Anlage</t>
    </r>
    <r>
      <rPr>
        <sz val="10"/>
        <rFont val="Arial"/>
      </rPr>
      <t>: Dach- oder Freilandanlage laut EEG</t>
    </r>
  </si>
  <si>
    <t xml:space="preserve">  Die Einspeisevergütungen nach EEG sind für Dach- Bzw. Freilandanlagen unterschiedlich.</t>
  </si>
  <si>
    <t>(Voreinstellung: Dachanlage)</t>
  </si>
  <si>
    <r>
      <t xml:space="preserve"> -</t>
    </r>
    <r>
      <rPr>
        <b/>
        <i/>
        <sz val="10"/>
        <color indexed="57"/>
        <rFont val="Arial"/>
        <family val="2"/>
      </rPr>
      <t>Standort</t>
    </r>
    <r>
      <rPr>
        <sz val="10"/>
        <rFont val="Arial"/>
      </rPr>
      <t>: Die durchschnittliche monatlich Einstrahlung während des Jahresverlaufs variiert</t>
    </r>
  </si>
  <si>
    <t xml:space="preserve">  in Abhängigkeit des Standorts. Die Erfassung des Standorts hat lediglich Einfluss auf die</t>
  </si>
  <si>
    <t xml:space="preserve">  Grafik "Solarertrag". In der Kalkulation werden die Werte nicht verrechnet.</t>
  </si>
  <si>
    <r>
      <t xml:space="preserve"> -</t>
    </r>
    <r>
      <rPr>
        <b/>
        <i/>
        <sz val="10"/>
        <color indexed="57"/>
        <rFont val="Arial"/>
        <family val="2"/>
      </rPr>
      <t>Inbetriebnahme - Monat:</t>
    </r>
    <r>
      <rPr>
        <sz val="10"/>
        <rFont val="Arial"/>
      </rPr>
      <t xml:space="preserve">  Der Inbetriebnahme-Monat  bestimmt die Höhe der Einspeise-</t>
    </r>
  </si>
  <si>
    <t>Solarertrag (Prognose):</t>
  </si>
  <si>
    <t xml:space="preserve">  vergütungen nach EEG für den Stromverkauf.</t>
  </si>
  <si>
    <r>
      <t xml:space="preserve"> -</t>
    </r>
    <r>
      <rPr>
        <b/>
        <i/>
        <sz val="10"/>
        <color indexed="57"/>
        <rFont val="Arial"/>
        <family val="2"/>
      </rPr>
      <t>Ertrag im 1. Jahr:</t>
    </r>
    <r>
      <rPr>
        <sz val="10"/>
        <rFont val="Arial"/>
      </rPr>
      <t xml:space="preserve"> Der Solarertrag wird erfasst in kWh/kWp pro Jahr. Hilfestellung bei der </t>
    </r>
  </si>
  <si>
    <t xml:space="preserve">  Schätzung des Ertragspotenitals ihrer Anlage finden Sie in verschiedenen Internetportalen, in </t>
  </si>
  <si>
    <r>
      <t xml:space="preserve">  Förderverein Deutschland e.V. (SFV); </t>
    </r>
    <r>
      <rPr>
        <u/>
        <sz val="10"/>
        <color indexed="12"/>
        <rFont val="Arial"/>
        <family val="2"/>
      </rPr>
      <t>www.pv-ertraege.de</t>
    </r>
    <r>
      <rPr>
        <sz val="10"/>
        <rFont val="Arial"/>
        <family val="2"/>
      </rPr>
      <t xml:space="preserve"> ). Darüber hinaus bietet z.B. der</t>
    </r>
  </si>
  <si>
    <t xml:space="preserve">  Deutsche Wetterdienst (www.dwd.de) Solargutachten an, mit welchen Sie zu einem über-</t>
  </si>
  <si>
    <t xml:space="preserve">  schaubaren Betrag eine Einschätzung des Ertragspotentials an ihrem Standort erhalten.</t>
  </si>
  <si>
    <r>
      <t xml:space="preserve"> -</t>
    </r>
    <r>
      <rPr>
        <b/>
        <i/>
        <sz val="10"/>
        <color indexed="57"/>
        <rFont val="Arial"/>
        <family val="2"/>
      </rPr>
      <t>Laufzeit der Anlage:</t>
    </r>
    <r>
      <rPr>
        <sz val="10"/>
        <rFont val="Arial"/>
      </rPr>
      <t xml:space="preserve"> Bei guter Technik und solider Installation ist aus heutiger Sicht eine </t>
    </r>
  </si>
  <si>
    <t>(Voreinstellung: 20 Jahre = EEG-Laufzeit)</t>
  </si>
  <si>
    <t>Herstellungskosten:</t>
  </si>
  <si>
    <t xml:space="preserve">  Bei hinreichend differenzierter Erfassung der Kosten lassen sich für die einzelnen Komponenten</t>
  </si>
  <si>
    <t xml:space="preserve">  unterschiedliche Laufzeiten (Abschreibungszeiträume) festlegen, wodurch die Berechnung an</t>
  </si>
  <si>
    <t>Jahreskosten:</t>
  </si>
  <si>
    <r>
      <t xml:space="preserve"> -</t>
    </r>
    <r>
      <rPr>
        <b/>
        <i/>
        <sz val="10"/>
        <color indexed="57"/>
        <rFont val="Arial"/>
        <family val="2"/>
      </rPr>
      <t>Kapitalgebundene Kosten:</t>
    </r>
    <r>
      <rPr>
        <sz val="10"/>
        <rFont val="Arial"/>
      </rPr>
      <t xml:space="preserve"> Sie bestehen aus den Abschreibungsbeträgen der Komponenten</t>
    </r>
  </si>
  <si>
    <t xml:space="preserve">  sowie der Kapitalverzinsung ("kalkulatorische Entlohnung des eingesetzten Kapitals").</t>
  </si>
  <si>
    <t xml:space="preserve">  Die Verzinsung in der vorliegenden Kalkulation erfolgt nach der Annuitätenmethode. </t>
  </si>
  <si>
    <t xml:space="preserve">  Der Zinssatz ist grundsätzlich frei wählbar. </t>
  </si>
  <si>
    <t xml:space="preserve">  Hierunter fallen z.B. Wartung/Instandhaltung, Zählermiete an den Messstellenbetreiber, etc.</t>
  </si>
  <si>
    <t xml:space="preserve">  Sollten regelmäßig Arbeitskosten für die PV-Anlage anfallen können diese ebenfalls hier </t>
  </si>
  <si>
    <t xml:space="preserve">  erfasst werden.</t>
  </si>
  <si>
    <r>
      <t xml:space="preserve"> -</t>
    </r>
    <r>
      <rPr>
        <b/>
        <i/>
        <sz val="10"/>
        <color indexed="57"/>
        <rFont val="Arial"/>
        <family val="2"/>
      </rPr>
      <t>Sonstige Kosten:</t>
    </r>
    <r>
      <rPr>
        <sz val="10"/>
        <rFont val="Arial"/>
      </rPr>
      <t xml:space="preserve"> Z.B. Versicherung, Aufwendungen für Steuerberatung sowie Erstellung von</t>
    </r>
  </si>
  <si>
    <t xml:space="preserve">  Steuererklärungen, etc.</t>
  </si>
  <si>
    <r>
      <t xml:space="preserve"> -</t>
    </r>
    <r>
      <rPr>
        <b/>
        <i/>
        <sz val="10"/>
        <color indexed="57"/>
        <rFont val="Arial"/>
        <family val="2"/>
      </rPr>
      <t>Stromverwendung:</t>
    </r>
    <r>
      <rPr>
        <sz val="10"/>
        <rFont val="Arial"/>
      </rPr>
      <t xml:space="preserve"> Bisherige Erfahrungen zeigen, dass bei entsprechender Dimensionierung </t>
    </r>
  </si>
  <si>
    <r>
      <t xml:space="preserve"> -</t>
    </r>
    <r>
      <rPr>
        <b/>
        <i/>
        <sz val="10"/>
        <color indexed="57"/>
        <rFont val="Arial"/>
        <family val="2"/>
      </rPr>
      <t>Kosten der Eigenstromnutzung:</t>
    </r>
    <r>
      <rPr>
        <sz val="10"/>
        <rFont val="Arial"/>
      </rPr>
      <t xml:space="preserve"> </t>
    </r>
  </si>
  <si>
    <t xml:space="preserve">  Die Kosten der Eigenstromnutzung werden nach folgender Rechenlogik ermittelt:</t>
  </si>
  <si>
    <t>ø Jahreskosten der Anlage</t>
  </si>
  <si>
    <t>- ø Erlöse aus Stromverkauf / Netzeinspeisung</t>
  </si>
  <si>
    <t>- ø Erlöse Stromeigenverbrauchsbonus</t>
  </si>
  <si>
    <t>= ø Kosten des Eigenstromverbrauchs</t>
  </si>
  <si>
    <t>ø Jahreskosten</t>
  </si>
  <si>
    <t>ø Erlöse</t>
  </si>
  <si>
    <t xml:space="preserve">- ø Erlöse </t>
  </si>
  <si>
    <t xml:space="preserve">     </t>
  </si>
  <si>
    <t>(Einspeisevergütungen, ggf. Verkaufserlöse für Stromverkauf ab 21. Jahr,</t>
  </si>
  <si>
    <t xml:space="preserve"> ggf. Stromeigenverbrauchsbouns bei Anlagen mit Inbetriebnahme vor 04/2012)</t>
  </si>
  <si>
    <t>= ø Kosten des Eigenstroms in € / kWh</t>
  </si>
  <si>
    <t xml:space="preserve">    / Eigenstromverbrauch in kWh / Jahr</t>
  </si>
  <si>
    <t xml:space="preserve">  umgelegt ergeben sich daraus die Vollkosten der PV-Stromerzeugung. Diese Fall entspricht </t>
  </si>
  <si>
    <t xml:space="preserve">  in der Praxis einer 100% Eigenstromnutzung.</t>
  </si>
  <si>
    <t xml:space="preserve">  Werden die gesamten ø-Jahreskosten der Anlage auf den gesamten ø-Solarertrag pro Jahr</t>
  </si>
  <si>
    <r>
      <t xml:space="preserve"> -</t>
    </r>
    <r>
      <rPr>
        <b/>
        <i/>
        <sz val="10"/>
        <color indexed="57"/>
        <rFont val="Arial"/>
        <family val="2"/>
      </rPr>
      <t>Vorteil der Eigenstromnutzung:</t>
    </r>
    <r>
      <rPr>
        <b/>
        <sz val="10"/>
        <rFont val="Arial"/>
        <family val="2"/>
      </rPr>
      <t xml:space="preserve"> </t>
    </r>
    <r>
      <rPr>
        <sz val="10"/>
        <rFont val="Arial"/>
        <family val="2"/>
      </rPr>
      <t>Durch Gegenüberstellung der Kosten für PV-Eigenstrom mit</t>
    </r>
  </si>
  <si>
    <t xml:space="preserve">  gegenüber dem Strombezug ermitteln.</t>
  </si>
  <si>
    <r>
      <t xml:space="preserve"> -</t>
    </r>
    <r>
      <rPr>
        <b/>
        <i/>
        <sz val="10"/>
        <color indexed="57"/>
        <rFont val="Arial"/>
        <family val="2"/>
      </rPr>
      <t>Inflationsrate Strompreis:</t>
    </r>
    <r>
      <rPr>
        <b/>
        <sz val="10"/>
        <rFont val="Arial"/>
        <family val="2"/>
      </rPr>
      <t/>
    </r>
  </si>
  <si>
    <t xml:space="preserve">  Voreingestellt ist eine (moderate) Inflationsrate von 1%. Die Einstellung der Inflationsrate</t>
  </si>
  <si>
    <t xml:space="preserve">  Prognose (Einstellung) von Nöten.</t>
  </si>
  <si>
    <t>(Voreinstellungen: 1,0 % Inflationsrate)</t>
  </si>
  <si>
    <t xml:space="preserve">  haben wir auf 5,0% begrenzt. Insbesondere an diesem Punkt ist ein verantwortungsvolle </t>
  </si>
  <si>
    <t>Aufgrund der gewählten Methode werden in den Ergebnissen entsprechend keine Exaktwerte</t>
  </si>
  <si>
    <t>sondern durchschnittliche Werte (Orientierungswerte) ausgewiesen !</t>
  </si>
  <si>
    <t>Daher unsere Bitte: Verwenden Sie Expertenwissen und Erfahrungswerte, um möglichst zuver-</t>
  </si>
  <si>
    <t>lässige Aussagen / Ergebnisse zu erhalten.</t>
  </si>
  <si>
    <t>Achtung: Ergebnisse sind immer nur so gut wie die Prognosen, auf welchen sie stehen !!</t>
  </si>
  <si>
    <t>copyright: Werner Schmid</t>
  </si>
  <si>
    <t>Zur Beurteilung der Wirtschaftlichkeit sowie des Liquiditätsverlaufs einer Investition in eine</t>
  </si>
  <si>
    <t>unter nachfolgender Adresse zum kostenlosen Download zur Verfügung.</t>
  </si>
  <si>
    <t>Datenerfassung und Ergebnisse:</t>
  </si>
  <si>
    <t>= ø Kosten des Eigenstromverbrauchs gesamt</t>
  </si>
  <si>
    <t>Verfallsdatum:</t>
  </si>
  <si>
    <r>
      <t xml:space="preserve">Vorbemerkung: </t>
    </r>
    <r>
      <rPr>
        <sz val="10"/>
        <rFont val="Arial"/>
        <family val="2"/>
      </rPr>
      <t>Bei der vorliegenden Kalkulation werden durchschnittliche Jahreskosten mit</t>
    </r>
  </si>
  <si>
    <t>durchschnittlichen Sonnenstrom-Erträgen verrechnet.</t>
  </si>
  <si>
    <t xml:space="preserve">  in welchen Solarerträge aus verschiedenen Regionen veröffentlicht werden (z.B.: Solarenergie-</t>
  </si>
  <si>
    <t xml:space="preserve">  mit Dünnschichtmodulen können die Werte zur Alterung je nach Technologie etwas höher liegen. </t>
  </si>
  <si>
    <t xml:space="preserve">  dass PV-Anlagen auch Laufzeiten von 25 Jahren und länger erreichen können. Lediglich die </t>
  </si>
  <si>
    <t xml:space="preserve">  Alterung unterliegen.</t>
  </si>
  <si>
    <t xml:space="preserve">  Wechselrichter weisen kürzere Laufzeiten auf, da Sie mit der Leistungselektronik einer spürbaren </t>
  </si>
  <si>
    <t xml:space="preserve">  Mindestlaufzeit von 20 Jahren i.d.R. kein Problem. Experten im Markt gehen sogar davon aus,  </t>
  </si>
  <si>
    <r>
      <t xml:space="preserve"> -</t>
    </r>
    <r>
      <rPr>
        <b/>
        <i/>
        <sz val="10"/>
        <color indexed="57"/>
        <rFont val="Arial"/>
        <family val="2"/>
      </rPr>
      <t>Herstellungskosten:</t>
    </r>
    <r>
      <rPr>
        <sz val="10"/>
        <rFont val="Arial"/>
      </rPr>
      <t xml:space="preserve"> Bei den Herstellungskosten wird unterschieden zwischen denen für die</t>
    </r>
  </si>
  <si>
    <t xml:space="preserve">  PV-Anlage und den Sonstigen (z.B. für Batterie-Speicher- oder andere Speichersysteme, etc.)</t>
  </si>
  <si>
    <t xml:space="preserve">  Genauigkeit gewinnen kann.</t>
  </si>
  <si>
    <t xml:space="preserve">  schlag von 2% hinzu gerechnet. Selbstverständlich kann der Kalkulationszinssatz jeweils nach den</t>
  </si>
  <si>
    <t xml:space="preserve">  eigenen Ansprüchen und Überlegungen verändert und eingestellt werden.</t>
  </si>
  <si>
    <r>
      <t xml:space="preserve"> -</t>
    </r>
    <r>
      <rPr>
        <b/>
        <i/>
        <sz val="10"/>
        <color indexed="57"/>
        <rFont val="Arial"/>
        <family val="2"/>
      </rPr>
      <t>Verbrauchsgebundene Kosten:</t>
    </r>
    <r>
      <rPr>
        <sz val="10"/>
        <rFont val="Arial"/>
      </rPr>
      <t xml:space="preserve"> Fallen bei PV-Anlagen i.d.Regel nicht an.</t>
    </r>
  </si>
  <si>
    <t xml:space="preserve">  Typische Beispiele für diese Pos. wären: Brennstoffkosten bei Heizungen = verbrauchsgebunden</t>
  </si>
  <si>
    <r>
      <t xml:space="preserve"> -</t>
    </r>
    <r>
      <rPr>
        <b/>
        <i/>
        <sz val="10"/>
        <color indexed="57"/>
        <rFont val="Arial"/>
        <family val="2"/>
      </rPr>
      <t>Betriebsgebundene Kosten:</t>
    </r>
  </si>
  <si>
    <t>Stromverwendung (Stromverkauf / Eigenstromverbrauch)</t>
  </si>
  <si>
    <r>
      <t xml:space="preserve">  der PV-Anlage (Jahres-Solarertrag der Anlage  </t>
    </r>
    <r>
      <rPr>
        <sz val="10"/>
        <rFont val="Symbol"/>
        <family val="1"/>
        <charset val="2"/>
      </rPr>
      <t>@</t>
    </r>
    <r>
      <rPr>
        <sz val="10"/>
        <rFont val="Arial"/>
        <family val="2"/>
      </rPr>
      <t xml:space="preserve"> Jahresstromverbrauch des Haushalts) ohne</t>
    </r>
  </si>
  <si>
    <t xml:space="preserve">  große Umstellung des Stromverbrauchsverhaltens ca. 25-35% des erzeugten Stroms als Eigen-</t>
  </si>
  <si>
    <t xml:space="preserve">  strom verwendet werden kann. Bei größeren PV-Anlagen sinkt die Rate, bei kleineren Anlagen </t>
  </si>
  <si>
    <t xml:space="preserve">  kann sie höher ausfallen. Mit Strommanagement, d.h. gezielter Lastverschiebung in die Tages-</t>
  </si>
  <si>
    <t xml:space="preserve">  phase und ggf. Einsatz von Last-Managementsystemen kann nach bisherigen Erfahrungen </t>
  </si>
  <si>
    <t xml:space="preserve">  der Eigenverbrauchsanteil um 10-20% gesteigert werden. Zum Thema Strom-Speichersysteme </t>
  </si>
  <si>
    <t xml:space="preserve">  liegen uns derzeit noch keine belastbaren Aussagen vor.</t>
  </si>
  <si>
    <r>
      <t xml:space="preserve"> -</t>
    </r>
    <r>
      <rPr>
        <b/>
        <i/>
        <sz val="10"/>
        <color indexed="57"/>
        <rFont val="Arial"/>
        <family val="2"/>
      </rPr>
      <t>Vollkosten des PV-Stroms</t>
    </r>
    <r>
      <rPr>
        <b/>
        <i/>
        <sz val="10"/>
        <color indexed="57"/>
        <rFont val="Arial"/>
        <family val="2"/>
      </rPr>
      <t>:</t>
    </r>
    <r>
      <rPr>
        <sz val="10"/>
        <rFont val="Arial"/>
      </rPr>
      <t xml:space="preserve"> </t>
    </r>
  </si>
  <si>
    <t>Vorteil / Nachteil  der Eigenstromnutzung</t>
  </si>
  <si>
    <t xml:space="preserve">  dem Preis für Strombezug lässt sich rechnerisch ein ø-Vorteil / Nachteil der Eigenstromnutzung</t>
  </si>
  <si>
    <t>Stromverkauf / Netzeinspeisung</t>
  </si>
  <si>
    <t>VORTEIL der Eigenstromnutzung (ø)</t>
  </si>
  <si>
    <t>Februar  2013</t>
  </si>
  <si>
    <t>Mai  2013</t>
  </si>
  <si>
    <t>August  2013</t>
  </si>
  <si>
    <t>November 2013</t>
  </si>
  <si>
    <t>Februar  2014</t>
  </si>
  <si>
    <t>Mai  2014</t>
  </si>
  <si>
    <t>EEG 2014 ab 01.08.2014</t>
  </si>
  <si>
    <t>Das EEG 2014 bringt auch der Photovoltaik einen grundlegenden Systemwechsel !</t>
  </si>
  <si>
    <r>
      <t xml:space="preserve">Prinzipiell werden künftig Anlagen zur Erzeugung regenerativen Stroms nach dem </t>
    </r>
    <r>
      <rPr>
        <u/>
        <sz val="10"/>
        <color indexed="10"/>
        <rFont val="Arial"/>
        <family val="2"/>
      </rPr>
      <t>Marktprämienmodell</t>
    </r>
  </si>
  <si>
    <t xml:space="preserve">gefördert. In der Photovoltaik gibt es jedoch für "kleine Anlagen" eine Ausnahmeregelung, die den </t>
  </si>
  <si>
    <t>Betrieb dieser "kleinen Anlagen" in altgewohnter Weise ermöglicht. "Kleine Anlagen" haben auch künftig</t>
  </si>
  <si>
    <t>Anspruch auf eine "feste Einspeisevergütung". Allerdings wird künftig für eigen verbrauchten Strom</t>
  </si>
  <si>
    <t xml:space="preserve">eine anteilige EEG-Umlage fällig.  </t>
  </si>
  <si>
    <t>August  2014</t>
  </si>
  <si>
    <t>Vergütungssätze (feste Einspeisevergütung) für Stromverkauf</t>
  </si>
  <si>
    <t>Kosten
Eigen-
strom-
ver-
brauch</t>
  </si>
  <si>
    <t>EEG-Umlage Eigenstrom</t>
  </si>
  <si>
    <r>
      <t>EEG-
Umlage</t>
    </r>
    <r>
      <rPr>
        <sz val="8"/>
        <rFont val="Arial"/>
        <family val="2"/>
      </rPr>
      <t xml:space="preserve">
ab 01.08.
2014;
EEG 2014)</t>
    </r>
  </si>
  <si>
    <t>Bestandsanlage vor 01.08.2014 (ja = 1; nein = 2)</t>
  </si>
  <si>
    <t>Dauer (Monate) bis 31.12.2015</t>
  </si>
  <si>
    <t>Dauer vom 1.1. bis 31.12.16</t>
  </si>
  <si>
    <t>Anlagenlaufzeit (Monate)</t>
  </si>
  <si>
    <t>Dauer nach 01.01.2017</t>
  </si>
  <si>
    <t>EEG-Umlage für den Eigenstromverbrauch (EEG 2014; ab 01.08.2014)</t>
  </si>
  <si>
    <t>EEG-Umlage (Schätzwert)</t>
  </si>
  <si>
    <t>durchschnittliche Höhe der anteiligen EEG-Umlage:</t>
  </si>
  <si>
    <t>Kosten des Eigenstromverbrauchs je kWh</t>
  </si>
  <si>
    <t>Zuschlag</t>
  </si>
  <si>
    <t>EEG-Umlage</t>
  </si>
  <si>
    <t>§ 61 Abs.3</t>
  </si>
  <si>
    <t>§ 61 Abs.2 Ziff. 4</t>
  </si>
  <si>
    <t>40% EEG-Umlage ab 1.01.2017</t>
  </si>
  <si>
    <t>§ 61 Abs.1 Ziff.3</t>
  </si>
  <si>
    <t>35% EEG-Umlage von 1.01.2016 bis 31.12.2016</t>
  </si>
  <si>
    <t>§ 61 Abs.1 Ziff.2</t>
  </si>
  <si>
    <t>30% EEG-Umlage von 1.07.2014 bis 31.12.2015</t>
  </si>
  <si>
    <t>§ 61 Abs.1 Ziff.1</t>
  </si>
  <si>
    <t>EEG-Umlage für Letztverbraucher und Eigenversorger kann verlangt werden</t>
  </si>
  <si>
    <t>§ 61 Abs.1</t>
  </si>
  <si>
    <t>Außenbereichsregelung</t>
  </si>
  <si>
    <t>§ 51 Abs.3</t>
  </si>
  <si>
    <t>Cent/kWh</t>
  </si>
  <si>
    <t>bis einschließlich 10.000 kWp</t>
  </si>
  <si>
    <t>Rundung</t>
  </si>
  <si>
    <t>bis einschließlich 1.000 kWp</t>
  </si>
  <si>
    <t>ab 01.07.2014</t>
  </si>
  <si>
    <t>bis einschließlich 40 kWp</t>
  </si>
  <si>
    <t>Degression</t>
  </si>
  <si>
    <t>bis einschließlich 10 kWp</t>
  </si>
  <si>
    <t xml:space="preserve">In, an und auf Gebäuden: </t>
  </si>
  <si>
    <t>§ 51 Abs.2</t>
  </si>
  <si>
    <t>ab 01.06.2014</t>
  </si>
  <si>
    <t>Anzulegender Wert bis 10 MW</t>
  </si>
  <si>
    <t>§ 51 Abs.1</t>
  </si>
  <si>
    <t>0,4 Cent/Kilowattstunde</t>
  </si>
  <si>
    <t>Abzugsbetrag =</t>
  </si>
  <si>
    <t>ab 01.05.2014</t>
  </si>
  <si>
    <t xml:space="preserve">Abzugsbetrag von den anzulegenden Werten nach § 51 (Solare Strahlungsenergie) </t>
  </si>
  <si>
    <t>§ 37 Abs.3 Ziff. 2</t>
  </si>
  <si>
    <t>nach 31.12.2015</t>
  </si>
  <si>
    <t xml:space="preserve">bis höchsten 100 kW </t>
  </si>
  <si>
    <t>vor 01.01.2016</t>
  </si>
  <si>
    <t xml:space="preserve">bis höchsten 500 kW </t>
  </si>
  <si>
    <t xml:space="preserve">"kleine Anlagen" = </t>
  </si>
  <si>
    <t>§ 37 Abs.2</t>
  </si>
  <si>
    <t>Anspruch auf Einspeisevergütung für "kleine Anlagen"</t>
  </si>
  <si>
    <t>§ 37 Abs.1</t>
  </si>
  <si>
    <t>ab 01.04.2014</t>
  </si>
  <si>
    <r>
      <t xml:space="preserve">Max. Zubaugrenze - </t>
    </r>
    <r>
      <rPr>
        <b/>
        <sz val="11"/>
        <color indexed="10"/>
        <rFont val="Arial"/>
        <family val="2"/>
      </rPr>
      <t>52.000 MW</t>
    </r>
  </si>
  <si>
    <t>§ 31 Abs.6</t>
  </si>
  <si>
    <t>Bezugszeitraum - 1 Jahr (13. Monat vorher bis 1 Monat vorher)</t>
  </si>
  <si>
    <t>§ 31 Abs.5</t>
  </si>
  <si>
    <t>ab 01.03.2014</t>
  </si>
  <si>
    <t>(einmalig zu Quartalsbeginn)</t>
  </si>
  <si>
    <t>um mehr als - 1400 MW</t>
  </si>
  <si>
    <t>um mehr als - 900 MW</t>
  </si>
  <si>
    <t>um bis - 900 MW</t>
  </si>
  <si>
    <t>ab 01.02.2014</t>
  </si>
  <si>
    <t>Absenkung der Degression bei Abweichen vom Zubaukorridor auf:</t>
  </si>
  <si>
    <t>§ 31 Abs.4</t>
  </si>
  <si>
    <t>um mehr als + 4900 MW</t>
  </si>
  <si>
    <t>um mehr als + 3900 MW</t>
  </si>
  <si>
    <t>um mehr als + 2900 MW</t>
  </si>
  <si>
    <t>ab 01.01.2014</t>
  </si>
  <si>
    <t>um mehr als + 1900 MW</t>
  </si>
  <si>
    <t>um mehr als + 900 MW</t>
  </si>
  <si>
    <t>um bis + 900 MW</t>
  </si>
  <si>
    <t>ab 01.12.2013</t>
  </si>
  <si>
    <t>Erhöhung der Degression bei Abweichen vom Zubaukorridor auf:</t>
  </si>
  <si>
    <t>§ 31 Abs.3</t>
  </si>
  <si>
    <t>Anpassung alle 3 Monate zum 1.1.; 1.4.; 1.7.; 1.10</t>
  </si>
  <si>
    <t>§ 31 Abs.2</t>
  </si>
  <si>
    <t>ab 01.11.2013</t>
  </si>
  <si>
    <r>
      <t xml:space="preserve">Zielkorridor = </t>
    </r>
    <r>
      <rPr>
        <b/>
        <sz val="11"/>
        <color indexed="10"/>
        <rFont val="Arial"/>
        <family val="2"/>
      </rPr>
      <t>2.400 bis 2.600 MW</t>
    </r>
  </si>
  <si>
    <t>§ 31 Abs.1</t>
  </si>
  <si>
    <t>Verhältnis zu dem jeweils anzulegenden Schwellenwert</t>
  </si>
  <si>
    <r>
      <t xml:space="preserve">Berechnung der Förderung - </t>
    </r>
    <r>
      <rPr>
        <b/>
        <sz val="11"/>
        <color indexed="10"/>
        <rFont val="Arial"/>
        <family val="2"/>
      </rPr>
      <t>anteilig nach der installierten Leistung der Anlage im</t>
    </r>
  </si>
  <si>
    <t>§ 23 Abs. 2 Ziff. 1</t>
  </si>
  <si>
    <t>ab 01.10.2013</t>
  </si>
  <si>
    <r>
      <t xml:space="preserve">Förderbeginn und -dauer: </t>
    </r>
    <r>
      <rPr>
        <b/>
        <sz val="11"/>
        <color indexed="10"/>
        <rFont val="Arial"/>
        <family val="2"/>
      </rPr>
      <t>20 Jahre + Inbetriebnahmejahr</t>
    </r>
  </si>
  <si>
    <t>§ 22</t>
  </si>
  <si>
    <t>ab 01.09.2013</t>
  </si>
  <si>
    <t>§ 19 Abs. 1 Ziff.2:</t>
  </si>
  <si>
    <t>Die Liste erhebt keine Anspruch auf Vollständigkeit. Eigene Recherchen im EEG 2014 sind zwingend anzuraten.</t>
  </si>
  <si>
    <t>ab 01.08.2013</t>
  </si>
  <si>
    <t>Wichtige Regelungen des EEG 2014 für Photovoltaik im Überblick</t>
  </si>
  <si>
    <t>mit Inbetriebnahme von 1.08.2014</t>
  </si>
  <si>
    <r>
      <rPr>
        <b/>
        <sz val="11"/>
        <color indexed="10"/>
        <rFont val="Arial"/>
        <family val="2"/>
      </rPr>
      <t>Befreiung</t>
    </r>
    <r>
      <rPr>
        <sz val="11"/>
        <rFont val="Arial"/>
        <family val="2"/>
      </rPr>
      <t xml:space="preserve"> von der EEG-Umlage bei </t>
    </r>
    <r>
      <rPr>
        <b/>
        <sz val="11"/>
        <color indexed="10"/>
        <rFont val="Arial"/>
        <family val="2"/>
      </rPr>
      <t>Bestandsanlagen</t>
    </r>
    <r>
      <rPr>
        <sz val="11"/>
        <rFont val="Arial"/>
        <family val="2"/>
      </rPr>
      <t xml:space="preserve"> </t>
    </r>
  </si>
  <si>
    <t>ab 01.07.2013</t>
  </si>
  <si>
    <t>max. für 10.000 kWh eigen verbrauchten Stroms</t>
  </si>
  <si>
    <r>
      <rPr>
        <b/>
        <sz val="11"/>
        <color indexed="10"/>
        <rFont val="Arial"/>
        <family val="2"/>
      </rPr>
      <t>Befreiung</t>
    </r>
    <r>
      <rPr>
        <sz val="11"/>
        <rFont val="Arial"/>
        <family val="2"/>
      </rPr>
      <t xml:space="preserve"> von der EEG-Umlage bei Anlagen </t>
    </r>
    <r>
      <rPr>
        <b/>
        <sz val="11"/>
        <color indexed="10"/>
        <rFont val="Arial"/>
        <family val="2"/>
      </rPr>
      <t>bis 10 kWp</t>
    </r>
    <r>
      <rPr>
        <sz val="11"/>
        <rFont val="Arial"/>
        <family val="2"/>
      </rPr>
      <t>;</t>
    </r>
  </si>
  <si>
    <t>ab 01.06.2013</t>
  </si>
  <si>
    <t>ab 01.05.2013</t>
  </si>
  <si>
    <t>&gt; Anlagen bis 10 kWp sind ausgenommen, befreit sind allerdings max. 10.000 kWh (10 MWh) selbst verbrauchten Stroms.</t>
  </si>
  <si>
    <t>ab 01.04.2013</t>
  </si>
  <si>
    <t>EEG-Umlage für den Eigenverbrauch:</t>
  </si>
  <si>
    <t>ab 01.03.2013</t>
  </si>
  <si>
    <t xml:space="preserve">          0,1315 €/kWh                -                 0,0040 €/kWh)                      =         0,1275 €/kWh</t>
  </si>
  <si>
    <t>ab 01.02.2013</t>
  </si>
  <si>
    <t>"Anzulegender Wert" (§51)   -  "Abzugsbetrag" (§37 Abs.3 Satz 2)  =  "Einspeisevergütung" (§31 Abs. 1)</t>
  </si>
  <si>
    <t>Beispiel:  Berechnung der Einspeisevergütung für eine Anlage &lt; 10 kWp , Inbetriebnahme im August 2014:</t>
  </si>
  <si>
    <t xml:space="preserve"> geltend machen können (max. 500 kWp bis 31.12.2015  / max. 100 kWp ab 01.01.2016), festgelegt.</t>
  </si>
  <si>
    <t>ab 01.01.2013</t>
  </si>
  <si>
    <t>Der Abzug ist mit 0,4 Cent/kWh  =(0,004 €/kWh) für alle Größenklassen, die Anpsruch auf Einspeisevergütung</t>
  </si>
  <si>
    <t>ab 01.12.2012</t>
  </si>
  <si>
    <t>Höhe der Einspeisevergütung</t>
  </si>
  <si>
    <t>ab 01.11.2012</t>
  </si>
  <si>
    <r>
      <t xml:space="preserve">max. 100 kWp) </t>
    </r>
    <r>
      <rPr>
        <b/>
        <u/>
        <sz val="11"/>
        <rFont val="Arial"/>
        <family val="2"/>
      </rPr>
      <t>kann weiterhin die Einspeisevergütung verlangen</t>
    </r>
    <r>
      <rPr>
        <sz val="11"/>
        <rFont val="Arial"/>
        <family val="2"/>
      </rPr>
      <t xml:space="preserve">. </t>
    </r>
  </si>
  <si>
    <t xml:space="preserve">D.h. wer eine "kleine Anlage" baut und betreibt (klein = max. 500 kWp bis 31.12.2015; danach nur noch </t>
  </si>
  <si>
    <t>ab 01.10.2012</t>
  </si>
  <si>
    <t>ab 01.09.2012</t>
  </si>
  <si>
    <t>ab 01.08.2012</t>
  </si>
  <si>
    <t xml:space="preserve"> ("altes Muster" = Anlagen mit Eigenverbrauch + Einspeisung mit Einspeisevergütung)</t>
  </si>
  <si>
    <t>gibt es eine besondere Regelung im EEG 2014,</t>
  </si>
  <si>
    <t xml:space="preserve">Für PV-Anlagen, die nach altem Muster eine Einspeisevergütung erhalten möchten </t>
  </si>
  <si>
    <t>ab 01.07.2012</t>
  </si>
  <si>
    <t>ab 01.06.2012</t>
  </si>
  <si>
    <t>ab 01.05.2012</t>
  </si>
  <si>
    <t>ab 01.04.2012</t>
  </si>
  <si>
    <t xml:space="preserve">Anzulegender Wert für PV-Anlagen in, an und auf Gebäuden: </t>
  </si>
  <si>
    <t>Anzulegender Wert für PV-Anlagen bis 10 MW</t>
  </si>
  <si>
    <t>bis 10 MWp</t>
  </si>
  <si>
    <t>bis 1 MWp</t>
  </si>
  <si>
    <t>bis 40 kWp</t>
  </si>
  <si>
    <t>bis 10 KWp</t>
  </si>
  <si>
    <t>Anlagen nach § 32 Abs. 1 EEG</t>
  </si>
  <si>
    <t>Anlagen nach § 32 Abs. 2 EEG (Dachanlagen)</t>
  </si>
  <si>
    <t>Wie hoch ist künftig die Vergütung?</t>
  </si>
  <si>
    <t>ab dem 01.04.2012 bis 31.07.2014</t>
  </si>
  <si>
    <t xml:space="preserve">Vergütungssätze in Cent/kWh mit Degression und Rundung </t>
  </si>
  <si>
    <t>Alte Vergütungssätze:</t>
  </si>
  <si>
    <t>zu entnehmen.</t>
  </si>
  <si>
    <t>Wir raten jedem Nutzer des Programms, die Regelungen selbst dem Originaltext des EEG 2014</t>
  </si>
  <si>
    <t>Neue Vergütungssätze des EEG 2014 ab 01.08.2014:</t>
  </si>
  <si>
    <t>Die nachfolgenden Erläuterungen können jedoch eine eigene Lektüre des EEG 2014 nicht ersetzen !</t>
  </si>
  <si>
    <t>im Zusammenhang mit der Nutzung des Programms bekannt sein sollten.</t>
  </si>
  <si>
    <t>Hinweis: Nachfolgend werden nur einige die wichtigsten Neuerungen des EEG 2014 erläutert, die</t>
  </si>
  <si>
    <t>http://www.bundesnetzagentur.de/cln_1931/DE/Sachgebiete/ElektrizitaetundGas/Unternehmen_Institutionen/ErneuerbareEnergien/Photovoltaik/DatenMeldgn_EEG-VergSaetze/DatenMeldgn_EEG-VergSaetze_node.html</t>
  </si>
  <si>
    <t>Quelle:</t>
  </si>
  <si>
    <t>http://www.solarwirtschaft.de/unsere-themen/erneuerbare-energien-gesetz</t>
  </si>
  <si>
    <t>BSW</t>
  </si>
  <si>
    <t>http://www.bundesnetzagentur.de/cln_1931/DE/Sachgebiete/ElektrizitaetGas/ErneuerbareEnergienGesetz/VerguetungssaetzePVAnlagen/VerguetungssaetzePhotovoltaik_Basepage.html?nn=135464</t>
  </si>
  <si>
    <t>Bundesnetzagentur</t>
  </si>
  <si>
    <t>Prinzipiell werden künftig Anlagen zur Erzeugung regenerativen Stroms nach dem Marktprämienmodell</t>
  </si>
  <si>
    <t>http://www.clearingstelle-eeg.de/fotovoltaik/</t>
  </si>
  <si>
    <t>Clearingstelle EEG</t>
  </si>
  <si>
    <t>http://www.bmu.de/erneuerbare_energien/downloads/doc/48898.php</t>
  </si>
  <si>
    <t>BMU</t>
  </si>
  <si>
    <t>http://www.erneuerbare-energien.de/erneuerbare_energien/pv-novelle_2012/doc/48542.php</t>
  </si>
  <si>
    <t>Berechnung der neuen Vergütungssätze für Strom aus solarer Strahlungsenergie</t>
  </si>
  <si>
    <t>EEG 2014</t>
  </si>
  <si>
    <t>weitere Info´s unter:</t>
  </si>
  <si>
    <t>Bundesgesetzblatt BGBl. 2014, Teil 1, Nr. 33, S. 1066 ff</t>
  </si>
  <si>
    <t>Aktueller Stand der PV-Vergütungen nach EEG + EEG 2014 (NEU)</t>
  </si>
  <si>
    <t xml:space="preserve"> (NEU: ab 01.08.2014)</t>
  </si>
  <si>
    <t xml:space="preserve">  Jedermann prognostiziert &gt;&gt; der Strompreis wird steigen. Frage ist nur wieviel.</t>
  </si>
  <si>
    <t>Oktober  2014</t>
  </si>
  <si>
    <t>Januar  2015</t>
  </si>
  <si>
    <t xml:space="preserve">ein Abzugsbetrag (§37) abgezogen werden. </t>
  </si>
  <si>
    <t>Allerdings muss zur Berechnung der Einspeisevergütung am 01.08.2014 vom "anzulegenden Wert" (§51)</t>
  </si>
  <si>
    <r>
      <t xml:space="preserve">Der "anzulegende Wert" gilt für das </t>
    </r>
    <r>
      <rPr>
        <b/>
        <sz val="11"/>
        <rFont val="Arial"/>
        <family val="2"/>
      </rPr>
      <t>Marktprämienmodell</t>
    </r>
    <r>
      <rPr>
        <sz val="11"/>
        <rFont val="Arial"/>
        <family val="2"/>
      </rPr>
      <t xml:space="preserve"> am 01.08.2014</t>
    </r>
  </si>
  <si>
    <t>April 2015</t>
  </si>
  <si>
    <t>Juli  2015</t>
  </si>
  <si>
    <t>Oktober  2015</t>
  </si>
  <si>
    <t xml:space="preserve">Mit dem Programm können ab Verison 3.1 sowohl "kleine Anlagen" mit Anspruch auf </t>
  </si>
  <si>
    <t xml:space="preserve">"feste Einspeisevergütung" (und ggf. Eigenstromverbrauch) als auch MARKTPRÄMIEN-Anlagen </t>
  </si>
  <si>
    <t xml:space="preserve">gerechnet werden. </t>
  </si>
  <si>
    <t xml:space="preserve">  Mit dem EEG 2014 wird insbesondere die Direktvermarktung von PV-Strom durch das Marktprämien</t>
  </si>
  <si>
    <r>
      <t xml:space="preserve">  Modell gefördert. Auf den zur Bemessung heranzuziehenden Marktwert (MW</t>
    </r>
    <r>
      <rPr>
        <vertAlign val="subscript"/>
        <sz val="10"/>
        <rFont val="Arial"/>
        <family val="2"/>
      </rPr>
      <t>solar</t>
    </r>
    <r>
      <rPr>
        <sz val="10"/>
        <rFont val="Arial"/>
        <family val="2"/>
      </rPr>
      <t>; §34 EEG) wird eine</t>
    </r>
  </si>
  <si>
    <t xml:space="preserve">  Marktprämie in der Höhe gewährt, damit in Summe (Marktwert + Marktprämie) der "anzulegende Wert" </t>
  </si>
  <si>
    <t xml:space="preserve">  erzielt wird.  Der Betreiber erhält vom Vermarkter den Börsenpreis abzgl. der Kosten, die </t>
  </si>
  <si>
    <t xml:space="preserve">  Marktprämie wird vom Netzbetreiber ausbezahlt.</t>
  </si>
  <si>
    <t xml:space="preserve">  Üblicherweise schließen Direktvermarkter mit den Anlagenbetreibern Verträge, in welchen als Preis</t>
  </si>
  <si>
    <t xml:space="preserve">  der "anzulegende Wert" vereinbart wird. Zur Deckung der Kosten der Vermarktung verlangt der </t>
  </si>
  <si>
    <t xml:space="preserve">  Vermarkter i.d.R. eine Gebühr. Häufig werden Beträge um 0,2 Cent/Kilowattstunde im Markt genannt.</t>
  </si>
  <si>
    <r>
      <t xml:space="preserve">  „MW</t>
    </r>
    <r>
      <rPr>
        <vertAlign val="subscript"/>
        <sz val="10"/>
        <rFont val="Arial"/>
        <family val="2"/>
      </rPr>
      <t>solar</t>
    </r>
    <r>
      <rPr>
        <sz val="10"/>
        <rFont val="Arial"/>
        <family val="2"/>
      </rPr>
      <t>“ ist der tatsächliche Monatsmittelwert des Marktwerts von Strom aus Anlagen zur Erzeugung</t>
    </r>
  </si>
  <si>
    <t xml:space="preserve">  von Strom aus solarer Strahlungsenergie am Spotmarkt der Strombörse EPEX Spot SE in Paris für die</t>
  </si>
  <si>
    <t xml:space="preserve">  Preiszone Deutschland/Österreich in Cent pro Kilowattstunde.</t>
  </si>
  <si>
    <r>
      <t xml:space="preserve">  </t>
    </r>
    <r>
      <rPr>
        <b/>
        <u/>
        <sz val="10"/>
        <color indexed="8"/>
        <rFont val="Arial"/>
        <family val="2"/>
      </rPr>
      <t>EEG 2014: Einspeisevergütungs - Anlage nach §37 EEG:</t>
    </r>
    <r>
      <rPr>
        <sz val="10"/>
        <rFont val="Arial"/>
        <family val="2"/>
      </rPr>
      <t xml:space="preserve"> Nach §37 EEG können PV-Anlagen mit </t>
    </r>
  </si>
  <si>
    <t xml:space="preserve">  mit Inbetriebnahme vor dem 01.01.2016 und max. 500 kWp bzw. PV-Anlagen </t>
  </si>
  <si>
    <t xml:space="preserve">  mit Inbetriebnahme nach dem 31.12.2015 und max. 100 kWp weiterhin eine Einspeisevergütung erhalten.</t>
  </si>
  <si>
    <t xml:space="preserve">  Sie sind damit vom Direktvermarktungsgrundsatz ausgenommen. Allerdings liegt die Mindestvergütung</t>
  </si>
  <si>
    <t xml:space="preserve">  einen kleinen Betrag unter dem "anzulegenden Wert" bei der Direktvermarktung. Zum Start des EEG 2014 </t>
  </si>
  <si>
    <t xml:space="preserve">  betrug die Differenz zwischen "anzulegendem Wert" und "Mindestvergütung" 0,4 Cent/Kilowattstunde.</t>
  </si>
  <si>
    <r>
      <t xml:space="preserve">  </t>
    </r>
    <r>
      <rPr>
        <b/>
        <u/>
        <sz val="10"/>
        <color indexed="8"/>
        <rFont val="Arial"/>
        <family val="2"/>
      </rPr>
      <t>EEG 2012: Einspeisevergütungs - Anlage:</t>
    </r>
    <r>
      <rPr>
        <sz val="10"/>
        <rFont val="Arial"/>
        <family val="2"/>
      </rPr>
      <t xml:space="preserve"> Mit dem EEG 2012 ab 01.04.2012 wurden der Bonus für </t>
    </r>
  </si>
  <si>
    <t xml:space="preserve">  Eigenverbrauch abgeschafft und die Möglichkeit der Direktvermarktung von PV-Strom eingeführt.</t>
  </si>
  <si>
    <t xml:space="preserve">  Allerdings nutzen die überwiegende Zahl der PV-Anlagenbetreiber weiterhin die garantierte Einspeise-</t>
  </si>
  <si>
    <t xml:space="preserve">  vergütung sowie die Möglichkeit, Strom selbst zu verbrauchen. Eine Grenze, ab welcher der erzeugte</t>
  </si>
  <si>
    <t xml:space="preserve">  Strom direkt zu vermarkten ist, (siehe EEG 2014) gab es im EEG 2012 noch nicht.</t>
  </si>
  <si>
    <t>(Voreinstellung: Einspeisevergütungs - Anlage:)</t>
  </si>
  <si>
    <t xml:space="preserve"> Navigation: Service&amp;Downloads / Downloads / Erneuerbare Energien / ...</t>
  </si>
  <si>
    <t>Vergütungstyp:</t>
  </si>
  <si>
    <t>Einspeisevergütung/Marktprämie</t>
  </si>
  <si>
    <t>Einspeisevergütungs - Anlage</t>
  </si>
  <si>
    <t>Ab 04/2012 entfällt die Förderung der Eigenstromnutzung durch das EEG. 
Zwischen 04/2012 und 08/2014 gilt: Bei Dachanlagen von 10 - 1.000 kWp wird  darüber hinaus eine "Mindesteigenstromnutzung" von 10% gefordert (Die Einspeisevergütung wurde beschränkt auf 90% des erzeugten Stroms; Marktintegrationsmodell EEG); 
Nach 08/2014 entfällt die Regelung zur "Mindesteigenstromnutzung".</t>
  </si>
  <si>
    <t xml:space="preserve">   * feste Einspeisevergütung nach EEG 2014; ermittelt aus: "anzulegender Wert" (§51, EEG 2014) - "Abzugsbetrag" (§37, EEG 2014)</t>
  </si>
  <si>
    <t>Einspeisevergütungen Photovoltaik nach EEG</t>
  </si>
  <si>
    <t>&gt;&gt;&gt;&gt;&gt;&gt;  Zurück  &lt;&lt;&lt;&lt;&lt;&lt;&lt;&lt;</t>
  </si>
  <si>
    <t>Quellen:</t>
  </si>
  <si>
    <t>Gesetz für den Vorrang für Erneuerbare Energien    Erneuerbare - Energien - Gesetz (EEG)</t>
  </si>
  <si>
    <t>ab 01.08.2014: Gesetz für den Ausbau Erneuerbare Energien (Erneuerbare - Energien - Gesetz, EEG 2014),  (BGBl. Teil 1 Nr. 33/2014; S. 1066 ff)</t>
  </si>
  <si>
    <t>lfd. Nr.</t>
  </si>
  <si>
    <t>Monat</t>
  </si>
  <si>
    <t>Zeitraum</t>
  </si>
  <si>
    <r>
      <t xml:space="preserve">Anlagen "an oder auf einem Gebäude" (Dachanlage / Fassadenanlage </t>
    </r>
    <r>
      <rPr>
        <vertAlign val="superscript"/>
        <sz val="10"/>
        <rFont val="Arial Narrow"/>
        <family val="2"/>
      </rPr>
      <t>1)</t>
    </r>
  </si>
  <si>
    <t>Freiland-</t>
  </si>
  <si>
    <t>Konversions-</t>
  </si>
  <si>
    <r>
      <t xml:space="preserve">Eigenstromverbrauch </t>
    </r>
    <r>
      <rPr>
        <vertAlign val="superscript"/>
        <sz val="10"/>
        <rFont val="Arial"/>
        <family val="2"/>
      </rPr>
      <t>4)</t>
    </r>
  </si>
  <si>
    <t>bis März 2012</t>
  </si>
  <si>
    <t>0 bis 30 kWp</t>
  </si>
  <si>
    <t>30 bis 100 kWp</t>
  </si>
  <si>
    <t>100 - 1000 kWp</t>
  </si>
  <si>
    <r>
      <t>üb. 1000 kWp</t>
    </r>
    <r>
      <rPr>
        <vertAlign val="superscript"/>
        <sz val="10"/>
        <rFont val="Arial"/>
        <family val="2"/>
      </rPr>
      <t xml:space="preserve"> 2)</t>
    </r>
  </si>
  <si>
    <t>anlage</t>
  </si>
  <si>
    <r>
      <t xml:space="preserve">flächenanlage </t>
    </r>
    <r>
      <rPr>
        <vertAlign val="superscript"/>
        <sz val="10"/>
        <rFont val="Arial"/>
        <family val="2"/>
      </rPr>
      <t>3)</t>
    </r>
  </si>
  <si>
    <t>100 bis 500 kWp</t>
  </si>
  <si>
    <r>
      <t xml:space="preserve">ab 01.04. 2012 </t>
    </r>
    <r>
      <rPr>
        <b/>
        <vertAlign val="superscript"/>
        <sz val="10"/>
        <rFont val="Arial"/>
        <family val="2"/>
      </rPr>
      <t>5)</t>
    </r>
  </si>
  <si>
    <t>0 bis 10 kWp</t>
  </si>
  <si>
    <t>10 kWp - 40 kWp</t>
  </si>
  <si>
    <t>40 kWp - 1 MW</t>
  </si>
  <si>
    <t>1 MW bis 10 MW</t>
  </si>
  <si>
    <t>max. 10 MW</t>
  </si>
  <si>
    <t>max. Anl.-</t>
  </si>
  <si>
    <t>Wertansatz</t>
  </si>
  <si>
    <t>Kürzung d.</t>
  </si>
  <si>
    <t>(rechnerische)</t>
  </si>
  <si>
    <t>Hilfstabelle</t>
  </si>
  <si>
    <t>Degr.</t>
  </si>
  <si>
    <t>größe</t>
  </si>
  <si>
    <t>max. EEG-Vergütung</t>
  </si>
  <si>
    <t>in kWp</t>
  </si>
  <si>
    <t>in €/kWp</t>
  </si>
  <si>
    <t>0 - 10 kWp</t>
  </si>
  <si>
    <t>10-1000 kWp</t>
  </si>
  <si>
    <t>2010 (Jan. - Jun.)</t>
  </si>
  <si>
    <t>2010 (Jul. - Sep.)</t>
  </si>
  <si>
    <t>2010 (Okt. - Dez.)</t>
  </si>
  <si>
    <t>2011 (Jan. - Jun.)</t>
  </si>
  <si>
    <t>2011 (Jul. - Dez.)</t>
  </si>
  <si>
    <t>2012 (Jan. - März)</t>
  </si>
  <si>
    <t>Apr 2012 (ab 01.04.)</t>
  </si>
  <si>
    <t>Mai 2012 (ab 01.05.)</t>
  </si>
  <si>
    <t>Jun 2012 (ab 01.06.)</t>
  </si>
  <si>
    <t>Jul 2012 (ab 01.07.)</t>
  </si>
  <si>
    <t>Aug 2012 (ab 01.08.)</t>
  </si>
  <si>
    <t>Sep 2012 (ab 01.09.)</t>
  </si>
  <si>
    <t>Okt 2012 (ab 01.10.)</t>
  </si>
  <si>
    <t>Nov 2012 (ab 01.11.)</t>
  </si>
  <si>
    <t>Dez 2012 (ab 01.12.)</t>
  </si>
  <si>
    <t>Jan 2013 (ab 01.01.)</t>
  </si>
  <si>
    <t>Feb 2013 (ab 01.02.)</t>
  </si>
  <si>
    <t>Mrz 2013 (ab 01.03.)</t>
  </si>
  <si>
    <t>Apr 2013 (ab 01.04.)</t>
  </si>
  <si>
    <t>Mai 2013 (ab 01.05.)</t>
  </si>
  <si>
    <t>Jun 2013 (ab 01.06.)</t>
  </si>
  <si>
    <t>Jul 2013 (ab 01.07.)</t>
  </si>
  <si>
    <t>Aug 2013 (ab 01.08.)</t>
  </si>
  <si>
    <t>Sep 2013 (ab 01.09.)</t>
  </si>
  <si>
    <t>Okt 2013 (ab 01.10.)</t>
  </si>
  <si>
    <t>Nov 2013 (ab 01.11.)</t>
  </si>
  <si>
    <t>Dez 2013 (ab 01.12.)</t>
  </si>
  <si>
    <t>Jan 2014 (ab 01.01.)</t>
  </si>
  <si>
    <t>Feb 2014 (ab 01.02.)</t>
  </si>
  <si>
    <t>Mrz 2014 (ab 01.03.)</t>
  </si>
  <si>
    <t>Apr 2014 (ab 01.04.)</t>
  </si>
  <si>
    <t>Mai 2014 (ab 01.05.)</t>
  </si>
  <si>
    <t>Jun 2014 (ab 01.06.)</t>
  </si>
  <si>
    <t>Jul 2014 (ab 01.07.)</t>
  </si>
  <si>
    <t>Aug 2014 (ab 01.08.)</t>
  </si>
  <si>
    <t>Sep 2014 (ab 01.09.)</t>
  </si>
  <si>
    <t>Okt 2014 (ab 01.10.)</t>
  </si>
  <si>
    <t>Nov 2014 (ab 01.11.)</t>
  </si>
  <si>
    <t>Dez 2014 (ab 01.12.)</t>
  </si>
  <si>
    <t>Jan 2015 (ab 01.01.)</t>
  </si>
  <si>
    <t>Feb 2015 (ab 01.02.)</t>
  </si>
  <si>
    <t>Mrz 2015 (ab 01.03.)</t>
  </si>
  <si>
    <t>Apr 2015 (ab 01.04.)</t>
  </si>
  <si>
    <t>Mai 2015 (ab 01.05.)</t>
  </si>
  <si>
    <t>Jun 2015 (ab 01.06.)</t>
  </si>
  <si>
    <t>Jul 2015 (ab 01.07.)</t>
  </si>
  <si>
    <t>Aug 2015 (ab 01.08.)</t>
  </si>
  <si>
    <t>Sep 2015 (ab 01.09.)</t>
  </si>
  <si>
    <t>Okt 2015 (ab 01.10.)</t>
  </si>
  <si>
    <t>Nov 2015 (ab 01.11.)</t>
  </si>
  <si>
    <t>Dez 2015 (ab 01.12.)</t>
  </si>
  <si>
    <t>Jan 2016 (ab 01.01.)</t>
  </si>
  <si>
    <t>Feb 2016 (ab 01.02.)</t>
  </si>
  <si>
    <t>Mrz 2016 (ab 01.03.)</t>
  </si>
  <si>
    <t>*   Die Erfassung eigener Vergütungssätze erfolgt auf eigene Verantwortung. Bitte Möglichkeit nur verwenden, wenn die Gesetzeslage aktuell unklar ist.</t>
  </si>
  <si>
    <t>** Die Veröffentlichung der Vergütungssätze für das 2. Halbjahr 2012 ist lt. § 20 Abs. 6 (EEG 2012) für den 30. Mai 2012 durch die Bundesnetzagentur vorgesehen.</t>
  </si>
  <si>
    <r>
      <t>1)</t>
    </r>
    <r>
      <rPr>
        <sz val="8"/>
        <rFont val="Arial"/>
        <family val="2"/>
      </rPr>
      <t xml:space="preserve">  Zwischen 2004 und 2008 wurde für Fassadenanlagen ein Aufschlag von 0,05 €/kWh gewährt. Ab 2009 fiel der Aufschlag weg. Es gilt seit 2009 eine einheitliche Vergütungsstufe für Anlagen "an oder auf einem Gebäude" (EEG 2008; § 33). </t>
    </r>
  </si>
  <si>
    <r>
      <t>2)</t>
    </r>
    <r>
      <rPr>
        <sz val="8"/>
        <rFont val="Arial"/>
        <family val="2"/>
      </rPr>
      <t xml:space="preserve">  Neue Vergütungsklasse ab 2009; 2004 bis 2008 galten für Großanlagen die Vergütungssätze für Anlagen über 100 kWp (§33 Abs. 1; Ziff. 4 EEG)</t>
    </r>
  </si>
  <si>
    <r>
      <t>3)</t>
    </r>
    <r>
      <rPr>
        <sz val="8"/>
        <rFont val="Arial"/>
        <family val="2"/>
      </rPr>
      <t xml:space="preserve">  Neue Vergütungsklasse ab Juli 2010; zuvor gab es keine differenzierten Vergütungssätze für Freilandanlagen</t>
    </r>
  </si>
  <si>
    <r>
      <t>4)</t>
    </r>
    <r>
      <rPr>
        <sz val="8"/>
        <rFont val="Arial"/>
        <family val="2"/>
      </rPr>
      <t xml:space="preserve">  Ab 2009 Förderung des Eigenstromverbrauchs bis 30 kWp; ab 2010 bis 500 kWp verbunden mit einer Umstellung der Berechnungsbasis auf eine 2-stufige Kürzung der Vergütung (siehe EEG §33 Abs. 2)</t>
    </r>
  </si>
  <si>
    <r>
      <t>5)</t>
    </r>
    <r>
      <rPr>
        <sz val="8"/>
        <rFont val="Arial"/>
        <family val="2"/>
      </rPr>
      <t xml:space="preserve">  Ab 01.04.2012, nach dem Gesetz für den Vorrang für Erneuerbare Energien (Erneuerbare - Energien - Gesetz, EEG), zuletzt geändert am 17.08.2012 durch das Gesetz zur Änderung des Rechtsrahmens für Strom aus solarer Strahlungsenergie und zu weiteren Änderungen im Recht der Erneuerbaren Energien (BGBl. Teil 1 Nr. 38; S. 1754 ff)</t>
    </r>
  </si>
  <si>
    <r>
      <t>6)</t>
    </r>
    <r>
      <rPr>
        <sz val="8"/>
        <rFont val="Arial"/>
        <family val="2"/>
      </rPr>
      <t xml:space="preserve">  Ab 01.08.2014, nach dem Gesetz für den Ausbau Erneuerbare Energien (Erneuerbare - Energien - Gesetz, EEG 2014),  (BGBl. Teil 1 Nr. 33/2014; S. 1066 ff)</t>
    </r>
  </si>
  <si>
    <t>Erläuterungen:  Entwicklung der Einspeisevergütungen vom EEG 2012 zum EEG 2014</t>
  </si>
  <si>
    <t>&gt; Mit dem EEG 2014 erfolgte im Grundsatz auch für die Photovoltaik der Systemwechsel von der "festen Einspeisevergütung" hin zum "Marktprämienmodell".</t>
  </si>
  <si>
    <t xml:space="preserve">&gt; Allerdings ermöglichte der Gesetzgeber für "kleine Anlagen" weiterhin den Betrieb nach altem Muster (Eigenverbrauch + feste Einspeisevergütung; § 37, EEG 2014) </t>
  </si>
  <si>
    <t>Zur Bewältigung des Umbruchs wurde das Thema Vergütungen neu geordnet.</t>
  </si>
  <si>
    <t>&gt; Künftig gibt es einen "anzurechnenden Wert" (§ 51), der für das Marktprämienmodell gilt.</t>
  </si>
  <si>
    <t>&gt; Die "feste Einspeisevergütung" für kleine Anlagen wird aus dem "anzurechnenden Wert" (§51) abzgl. "Abzugsbetrag" (§37 Abs. 3 Ziff. 2) ermittelt.</t>
  </si>
  <si>
    <t>&gt; Für Eigenstromverbrauch wird eine anteilige EEG-Umlage fällig (Bagatellgrenze = 10 kWp, 10 MWh eigen verbrauchter Strom).</t>
  </si>
  <si>
    <t>Entwicklung von der "Einspeisevergütung Juli 2014" zum "anzurechnenden Wert August 2014" und der "festen Einspeisevergütung August 2014":</t>
  </si>
  <si>
    <t>bis 10 kWp</t>
  </si>
  <si>
    <t>10 bis 40 kWp</t>
  </si>
  <si>
    <t>40 bis 1000 kWp</t>
  </si>
  <si>
    <t>über 1000 kWp</t>
  </si>
  <si>
    <t>Freiland</t>
  </si>
  <si>
    <t>Vergütungssätze Juli 2014 (nach EEG 2012)</t>
  </si>
  <si>
    <t>rechn. Vergütungssätze Aug 2014;  (EEG 2012)</t>
  </si>
  <si>
    <t>(bei 1% Degression von Juli auf August)</t>
  </si>
  <si>
    <t>+ Zuschlag für verpflichtende Direktvermarktung</t>
  </si>
  <si>
    <t>Diese Beträge wurden in Gesetzgebungsverfahren</t>
  </si>
  <si>
    <t>+ Kompensation "EEG-Umlage Eigenstrom"</t>
  </si>
  <si>
    <t>---</t>
  </si>
  <si>
    <t>verhandelt und zur Weiterentwicklung des EEG</t>
  </si>
  <si>
    <t>festgesetzt.</t>
  </si>
  <si>
    <t>= "anzurechnender Wert" EEG 2014</t>
  </si>
  <si>
    <t xml:space="preserve">- Abzugsbetrag für Inanspruchnahme </t>
  </si>
  <si>
    <t>(nur bis</t>
  </si>
  <si>
    <t xml:space="preserve">   der "festen Einspeisevergütung"</t>
  </si>
  <si>
    <t xml:space="preserve"> 500 / 100 kWp)</t>
  </si>
  <si>
    <t>("kleine Anlagen" (§ 37 Abs.1 und § 37 Abs.3 Ziff. 2)</t>
  </si>
  <si>
    <t>= "feste Einspeisevergütung" EEG 2014</t>
  </si>
  <si>
    <t>Januar  2016</t>
  </si>
  <si>
    <t xml:space="preserve">   * EEG 2014: Marktprämien - Modell - Anlage  &gt; max. Förderbetrag = "anzulegender Wert"</t>
  </si>
  <si>
    <r>
      <t xml:space="preserve">EEG-
Umlage
</t>
    </r>
    <r>
      <rPr>
        <sz val="8"/>
        <rFont val="Arial"/>
        <family val="2"/>
      </rPr>
      <t>(ab 01.08.
2014;
EEG 2014)</t>
    </r>
  </si>
  <si>
    <t>Apr 2016 (ab 01.04.)</t>
  </si>
  <si>
    <t>Mai 2016  (ab 01.05.)</t>
  </si>
  <si>
    <t>Jun 2016  (ab 01.06.)</t>
  </si>
  <si>
    <t>Jul 2016  (ab 01.07.)</t>
  </si>
  <si>
    <t>Aug 2016  (ab 01.08.)</t>
  </si>
  <si>
    <t>Sep 2016  (ab 01.09.)</t>
  </si>
  <si>
    <t>Okt 2016  (ab 01.10.)</t>
  </si>
  <si>
    <t>Nov 2016  (ab 01.11.)</t>
  </si>
  <si>
    <t>Dez 2016 (ab 01.12.)</t>
  </si>
  <si>
    <t>April  2016</t>
  </si>
  <si>
    <t>März  2017</t>
  </si>
  <si>
    <t>April  2017</t>
  </si>
  <si>
    <t>Juni  2017</t>
  </si>
  <si>
    <t>Juli  2017</t>
  </si>
  <si>
    <t>September  2017</t>
  </si>
  <si>
    <t>Oktober  2017</t>
  </si>
  <si>
    <t>Dezember  2017</t>
  </si>
  <si>
    <t>Januar  2018</t>
  </si>
  <si>
    <t>März  2018</t>
  </si>
  <si>
    <t>April  2018</t>
  </si>
  <si>
    <t>Juni  2018</t>
  </si>
  <si>
    <t>Juli  2018</t>
  </si>
  <si>
    <t>September  2018</t>
  </si>
  <si>
    <t>Oktober  2018</t>
  </si>
  <si>
    <t>November  2018</t>
  </si>
  <si>
    <t>Dezember  2018</t>
  </si>
  <si>
    <t>anteilige / volle EEG-Umlagepflicht?  (anteilig=1; voll=2)</t>
  </si>
  <si>
    <t xml:space="preserve">  Stromerzeugung um die EEG-Umlage auf Eigenstrom (sofern diese für den Anlagentyp abzuführen ist).</t>
  </si>
  <si>
    <t>NEU:  EEG 2017</t>
  </si>
  <si>
    <t>EEG 2017 ab 01.01.2017</t>
  </si>
  <si>
    <t>Das EEG 2017 manifestiert in der Photovoltaik den mit dem EEG 2014 eingeleiteten Systemwechsel !</t>
  </si>
  <si>
    <t>A) Alle Anlagen, die größer als 750 kWp sind müssen an der vorgeschriebenen Ausschreibung teilnehmen.</t>
  </si>
  <si>
    <t>Hinweis: Ausschreibungspflichtige Anlagen (&gt;750 kWp) können derzeit mit dem Programm nicht gerechnet werden.</t>
  </si>
  <si>
    <t xml:space="preserve">&gt;&gt;&gt; Nicht ausschreibungspflichtige Direktvermarktungsanlagen (&lt;= 750 kWp) haben Anspruch auf den </t>
  </si>
  <si>
    <t xml:space="preserve">        gesetzlich festgelegten "anzulegenden Wert".</t>
  </si>
  <si>
    <t>C) Anlagen mit einer max. Größe von 100 kWp können eine Einspeisevergütung in Anspruch nehmen.</t>
  </si>
  <si>
    <t xml:space="preserve">&gt;&gt;&gt; Nicht ausschreibungspflichtige Einspeisevergütungs - Anlagen (&lt;= 100 kWp) haben Anspruch auf </t>
  </si>
  <si>
    <t xml:space="preserve">        eine gesetzlich festgelegte Einspeisevergütung, die sich wie folgt errechnet:</t>
  </si>
  <si>
    <r>
      <rPr>
        <b/>
        <sz val="10"/>
        <color indexed="12"/>
        <rFont val="Arial"/>
        <family val="2"/>
      </rPr>
      <t>Einspeisevergütung</t>
    </r>
    <r>
      <rPr>
        <sz val="10"/>
        <rFont val="Arial"/>
        <family val="2"/>
      </rPr>
      <t xml:space="preserve"> =   "</t>
    </r>
    <r>
      <rPr>
        <b/>
        <sz val="10"/>
        <color indexed="10"/>
        <rFont val="Arial"/>
        <family val="2"/>
      </rPr>
      <t>anzulegender Wert</t>
    </r>
    <r>
      <rPr>
        <sz val="10"/>
        <rFont val="Arial"/>
      </rPr>
      <t xml:space="preserve">" abzüglich </t>
    </r>
    <r>
      <rPr>
        <b/>
        <sz val="10"/>
        <color indexed="10"/>
        <rFont val="Arial"/>
        <family val="2"/>
      </rPr>
      <t>0,4 Cent/kWh</t>
    </r>
  </si>
  <si>
    <t xml:space="preserve">  Alle Anlagen größer 750 kWp sind nach den Bestimmungen des EEG 2017 verpflichtet an den</t>
  </si>
  <si>
    <t xml:space="preserve">  Ausschreibungen teilzunehmen. Der "anzulegende Wert" wird in den Ausschreibungen ermittelt.</t>
  </si>
  <si>
    <t xml:space="preserve">  Hinweis: Ausschreibungspflichtige Anlagen (&gt;750 kWp) können derzeit mit dem Programm nicht gerechnet werden.</t>
  </si>
  <si>
    <r>
      <rPr>
        <b/>
        <sz val="10"/>
        <rFont val="Arial"/>
        <family val="2"/>
      </rPr>
      <t xml:space="preserve">  </t>
    </r>
    <r>
      <rPr>
        <b/>
        <u/>
        <sz val="10"/>
        <rFont val="Arial"/>
        <family val="2"/>
      </rPr>
      <t>EEG 2017: MARKTPRÄMIEN-Modell - Anlage (&lt;= 750 kWp)</t>
    </r>
  </si>
  <si>
    <t xml:space="preserve">  Alle Anlagen größer 100 kWp sind nach den Bestimmungen des EEG 2017 zur Direktvermarktung</t>
  </si>
  <si>
    <t xml:space="preserve">  von PV-Strom verpflichtet. </t>
  </si>
  <si>
    <t xml:space="preserve">  Anspruch auf den gesetzlich festgelegten "Anzulegenden Wert" haben nur Anlagen bis max. 750 kWp.</t>
  </si>
  <si>
    <t xml:space="preserve">  (siehe oben:  Ausschreibungspflichtige Anlagen)</t>
  </si>
  <si>
    <r>
      <rPr>
        <b/>
        <sz val="10"/>
        <rFont val="Arial"/>
        <family val="2"/>
      </rPr>
      <t xml:space="preserve">  </t>
    </r>
    <r>
      <rPr>
        <b/>
        <u/>
        <sz val="10"/>
        <rFont val="Arial"/>
        <family val="2"/>
      </rPr>
      <t>EEG 2017: Einspeisevergütungs - Anlage nach §21 (max. 100 kWp)</t>
    </r>
  </si>
  <si>
    <t xml:space="preserve">  Alle Anlagen bis max. 100 kWp haben nach den Bestimmungen des EEG 2017 Anspruch auf</t>
  </si>
  <si>
    <t xml:space="preserve">  die gesetzlich festgelegte "Einspeisevergütung". Diese errechnet sich wie folgt:</t>
  </si>
  <si>
    <r>
      <t xml:space="preserve">  Einspeisevergütung = </t>
    </r>
    <r>
      <rPr>
        <b/>
        <sz val="10"/>
        <color indexed="10"/>
        <rFont val="Arial"/>
        <family val="2"/>
      </rPr>
      <t>"anzulegender Wert"</t>
    </r>
    <r>
      <rPr>
        <sz val="10"/>
        <rFont val="Arial"/>
        <family val="2"/>
      </rPr>
      <t xml:space="preserve">   abzgl.  </t>
    </r>
    <r>
      <rPr>
        <b/>
        <sz val="10"/>
        <color indexed="10"/>
        <rFont val="Arial"/>
        <family val="2"/>
      </rPr>
      <t xml:space="preserve"> 0,4 Cent/kWh</t>
    </r>
  </si>
  <si>
    <r>
      <rPr>
        <b/>
        <sz val="10"/>
        <rFont val="Arial"/>
        <family val="2"/>
      </rPr>
      <t xml:space="preserve">  </t>
    </r>
    <r>
      <rPr>
        <b/>
        <u/>
        <sz val="10"/>
        <rFont val="Arial"/>
        <family val="2"/>
      </rPr>
      <t xml:space="preserve">EEG 2014: MARKTPRÄMIEN-Modell - Anlage: </t>
    </r>
  </si>
  <si>
    <t>Jan 2017  (ab 01.01.)</t>
  </si>
  <si>
    <t>Berechnung</t>
  </si>
  <si>
    <t>EEG 2017  (ab 01/2017)</t>
  </si>
  <si>
    <t>EEG 2014  (gültig von 08/2014 bis 12/2016)</t>
  </si>
  <si>
    <t>EEG 2012 (von 04/2012 bis 07/2014)</t>
  </si>
  <si>
    <t>Angaben ohne Gewähr</t>
  </si>
  <si>
    <t>Aktueller Stand der Vergütungen nach EEG 2017</t>
  </si>
  <si>
    <t>Ausschreibungspflicht:</t>
  </si>
  <si>
    <t>§22 Abs.3</t>
  </si>
  <si>
    <t>§37 Abs. 3</t>
  </si>
  <si>
    <t>§19 Abs.1 Ziff.1</t>
  </si>
  <si>
    <t>Anspruch auf Marktprämie nach §20</t>
  </si>
  <si>
    <t>§20</t>
  </si>
  <si>
    <t>Voraussetzungen: Direktvermarktung, Fernsteuerbarkeit</t>
  </si>
  <si>
    <t>§22</t>
  </si>
  <si>
    <t>Anspruch haben nur Anlagen bis max. 750 kWp</t>
  </si>
  <si>
    <t>Stand: 31.03.2016</t>
  </si>
  <si>
    <t>(diese sind von der Ausschreibungspflicht ausgenommen)</t>
  </si>
  <si>
    <t>Stand: 30.09.2016</t>
  </si>
  <si>
    <t>§23</t>
  </si>
  <si>
    <t>Berechnungsbasis für Marktprämie = "Anzulegender Wert"</t>
  </si>
  <si>
    <t>§ 23a</t>
  </si>
  <si>
    <t>Anlagen mit Anspruch auf feste Einspeisevergütung:</t>
  </si>
  <si>
    <t>§19 Abs.1 Ziff.2</t>
  </si>
  <si>
    <t>Anspruch auf Einspeisevergütung nach §21</t>
  </si>
  <si>
    <t xml:space="preserve">§21 </t>
  </si>
  <si>
    <t xml:space="preserve">Anspruch auf Einspeisevergütung nur für Anlagen bis 100 kWp. </t>
  </si>
  <si>
    <t>Ablieferungspflicht des Stroms an den Netzbetreiber; Ausnahme: Eigenverbrauch</t>
  </si>
  <si>
    <t>keine Teilnahme am Regelenergiemarkt</t>
  </si>
  <si>
    <t>§21  / §53</t>
  </si>
  <si>
    <r>
      <t xml:space="preserve">Einspeisevergütung =    </t>
    </r>
    <r>
      <rPr>
        <b/>
        <sz val="14"/>
        <color indexed="10"/>
        <rFont val="Arial"/>
        <family val="2"/>
      </rPr>
      <t xml:space="preserve">Anzulegender Wert </t>
    </r>
    <r>
      <rPr>
        <sz val="14"/>
        <rFont val="Arial"/>
        <family val="2"/>
      </rPr>
      <t>abzügl.</t>
    </r>
    <r>
      <rPr>
        <b/>
        <sz val="14"/>
        <color indexed="10"/>
        <rFont val="Arial"/>
        <family val="2"/>
      </rPr>
      <t xml:space="preserve"> 0,4 Cent/kWh</t>
    </r>
  </si>
  <si>
    <t>EEG-Umlage für den Eigenverbrauch</t>
  </si>
  <si>
    <r>
      <rPr>
        <b/>
        <sz val="11"/>
        <color indexed="10"/>
        <rFont val="Arial"/>
        <family val="2"/>
      </rPr>
      <t>Grundsatz</t>
    </r>
    <r>
      <rPr>
        <sz val="11"/>
        <rFont val="Arial"/>
        <family val="2"/>
      </rPr>
      <t xml:space="preserve"> § 61 EEG:Wer künftig PV-Strom selbst verbraucht muss für den eigen verbrauchten Strom EEG-</t>
    </r>
  </si>
  <si>
    <t xml:space="preserve">Umlage  abführen (i.d.R. gültig für Neuanlagen mit Inbetriebnahme nach 01.08.2014; Ausnahmen siehe EEG 2014) </t>
  </si>
  <si>
    <r>
      <rPr>
        <b/>
        <sz val="11"/>
        <color indexed="10"/>
        <rFont val="Arial"/>
        <family val="2"/>
      </rPr>
      <t xml:space="preserve">2 wichtige Ausnahmen </t>
    </r>
    <r>
      <rPr>
        <sz val="11"/>
        <rFont val="Arial"/>
        <family val="2"/>
      </rPr>
      <t>zu dieser Regel:</t>
    </r>
  </si>
  <si>
    <t xml:space="preserve">&gt; Bestandsanlagen mir Inbetriebnahme vor 01.08.2014 (mit gewissen Einschränkungen) </t>
  </si>
  <si>
    <r>
      <t xml:space="preserve">Anteilige </t>
    </r>
    <r>
      <rPr>
        <sz val="11"/>
        <rFont val="Arial"/>
        <family val="2"/>
      </rPr>
      <t>oder</t>
    </r>
    <r>
      <rPr>
        <b/>
        <sz val="11"/>
        <color indexed="10"/>
        <rFont val="Arial"/>
        <family val="2"/>
      </rPr>
      <t xml:space="preserve"> volle EEG-Umlage ?</t>
    </r>
  </si>
  <si>
    <t xml:space="preserve">Wird der selbst produzierte Strom eigen verbraucht (Anlagenbetreiber und Letztverbraucher sind identisch), </t>
  </si>
  <si>
    <t>fällt eine reduzierte EEG-Umlage  an. Sind Anlagenbetreiber und Letztverbraucher nicht identisch, muss</t>
  </si>
  <si>
    <t>die volle EEG-Umlage bezahlt werden.</t>
  </si>
  <si>
    <r>
      <rPr>
        <b/>
        <sz val="11"/>
        <color indexed="10"/>
        <rFont val="Arial"/>
        <family val="2"/>
      </rPr>
      <t>Fundstellen im Gesetz</t>
    </r>
    <r>
      <rPr>
        <sz val="11"/>
        <rFont val="Arial"/>
        <family val="2"/>
      </rPr>
      <t>:</t>
    </r>
  </si>
  <si>
    <t>§ 5</t>
  </si>
  <si>
    <t>Begriffsbestimmungen</t>
  </si>
  <si>
    <r>
      <t xml:space="preserve"> </t>
    </r>
    <r>
      <rPr>
        <b/>
        <u/>
        <sz val="10"/>
        <color indexed="8"/>
        <rFont val="Arial"/>
        <family val="2"/>
      </rPr>
      <t>EEG 2017: Ausschreibungspflichtige Anlage:</t>
    </r>
    <r>
      <rPr>
        <sz val="10"/>
        <color indexed="8"/>
        <rFont val="Arial"/>
        <family val="2"/>
      </rPr>
      <t xml:space="preserve"> </t>
    </r>
  </si>
  <si>
    <r>
      <t xml:space="preserve"> -</t>
    </r>
    <r>
      <rPr>
        <b/>
        <i/>
        <sz val="10"/>
        <color indexed="57"/>
        <rFont val="Arial"/>
        <family val="2"/>
      </rPr>
      <t>Vergütungstyp:</t>
    </r>
  </si>
  <si>
    <t>+ anteilige bzw. volle  EEG-Umlage in € / kWh</t>
  </si>
  <si>
    <t>Januar  2017</t>
  </si>
  <si>
    <t>Feb 2017  (ab 01.02.)</t>
  </si>
  <si>
    <t>Mrz 2017  (ab01.03.)</t>
  </si>
  <si>
    <t>Apr 2017  (ab 01.04.)</t>
  </si>
  <si>
    <t>Freiland/Außenbereich</t>
  </si>
  <si>
    <t>Februar  2017</t>
  </si>
  <si>
    <t>§61b</t>
  </si>
  <si>
    <t xml:space="preserve">Für eigen verbrauchten Strom (Eigenversorgung) ist EEG-Umlage </t>
  </si>
  <si>
    <t xml:space="preserve">zu entrichten. </t>
  </si>
  <si>
    <t>Im Grundsatz ist eine 100% EEG-Umlage zu entrichten.</t>
  </si>
  <si>
    <r>
      <t xml:space="preserve">  Mit dem </t>
    </r>
    <r>
      <rPr>
        <b/>
        <sz val="10"/>
        <color indexed="12"/>
        <rFont val="Arial"/>
        <family val="2"/>
      </rPr>
      <t>EEG 2014</t>
    </r>
    <r>
      <rPr>
        <sz val="10"/>
        <color indexed="12"/>
        <rFont val="Arial"/>
        <family val="2"/>
      </rPr>
      <t xml:space="preserve"> erhöhen sich die Vollkosten der PV-</t>
    </r>
  </si>
  <si>
    <t>Mai 2017  (ab 01.05.)</t>
  </si>
  <si>
    <t>Jun 2017  (ab 01.06.)</t>
  </si>
  <si>
    <t>Jul 2017  (ab 01.07.)</t>
  </si>
  <si>
    <t>Mai 2017</t>
  </si>
  <si>
    <t>Aug 2017  (ab 01.08.)</t>
  </si>
  <si>
    <t>Sep 2017  (ab 01.09.)</t>
  </si>
  <si>
    <t>Okt 2017  (ab 01.10.)</t>
  </si>
  <si>
    <t>&gt;&gt;&gt; Der anzulegende Wert wird durch Ausschreibung ermittelt.</t>
  </si>
  <si>
    <t xml:space="preserve">        Erhält ein Bieter den Zuschlag, gilt der vom Bieter genannte Wert als "anzulegender Wert".</t>
  </si>
  <si>
    <t>August 2017</t>
  </si>
  <si>
    <t>Nov 2017  (ab 01.11.)</t>
  </si>
  <si>
    <t>Dez 2017  (ab 01.12.)</t>
  </si>
  <si>
    <t>Jan 2018  (ab 01.01.)</t>
  </si>
  <si>
    <t>November 2017</t>
  </si>
  <si>
    <t>https://www.bundesnetzagentur.de/DE/Sachgebiete/ElektrizitaetundGas/Unternehmen_Institutionen/ErneuerbareEnergien/ZahlenDatenInformationen/EEG_Registerdaten/EEG_Registerdaten_node.html</t>
  </si>
  <si>
    <t>Sonstiges</t>
  </si>
  <si>
    <t>Feb 2018  (ab 01.02.)</t>
  </si>
  <si>
    <t>Mrz 2018  (ab 01.03.)</t>
  </si>
  <si>
    <t>Apr 2018  (ab 01.04.)</t>
  </si>
  <si>
    <t>Februar  2018</t>
  </si>
  <si>
    <t>Mai 2018  (ab 01.05.)</t>
  </si>
  <si>
    <t>Jun 2018  (ab 01.06.)</t>
  </si>
  <si>
    <t>Jul 2018  (ab 01.07.)</t>
  </si>
  <si>
    <t>Mai 2018</t>
  </si>
  <si>
    <t>Aug 2018  (ab 01.08.)</t>
  </si>
  <si>
    <t>Sep 2018  (ab 01.09.)</t>
  </si>
  <si>
    <t>Okt 2018  (ab 01.10.)</t>
  </si>
  <si>
    <t>August 2018</t>
  </si>
  <si>
    <t>Nov 2018  (ab 01.11.)</t>
  </si>
  <si>
    <t>Dez 2018  (ab 01.12.)</t>
  </si>
  <si>
    <t>Jan 2019  (ab 01.01.)</t>
  </si>
  <si>
    <t>Feb 2019  (ab 01.02.)</t>
  </si>
  <si>
    <t>Mrz 2019  (ab 01.03.)</t>
  </si>
  <si>
    <t>Apr 2019  (ab 01.04.)</t>
  </si>
  <si>
    <t>Jan 2020  (ab 01.01.)</t>
  </si>
  <si>
    <t>Januar  2019</t>
  </si>
  <si>
    <t>Februar  2019</t>
  </si>
  <si>
    <t>März  2019</t>
  </si>
  <si>
    <t>April  2019</t>
  </si>
  <si>
    <t>Juni  2019</t>
  </si>
  <si>
    <t>Juli  2019</t>
  </si>
  <si>
    <t>September  2019</t>
  </si>
  <si>
    <t>Oktober  2019</t>
  </si>
  <si>
    <t>Dezember  2019</t>
  </si>
  <si>
    <t>Januar  2020</t>
  </si>
  <si>
    <t>März  2020</t>
  </si>
  <si>
    <t>April  2020</t>
  </si>
  <si>
    <t>Juni  2020</t>
  </si>
  <si>
    <t>Juli  2020</t>
  </si>
  <si>
    <t>September  2020</t>
  </si>
  <si>
    <t>Oktober  2020</t>
  </si>
  <si>
    <t>Dezember  2020</t>
  </si>
  <si>
    <t>Januar  2021</t>
  </si>
  <si>
    <t>März  2021</t>
  </si>
  <si>
    <t>April  2021</t>
  </si>
  <si>
    <t>Mai 2021</t>
  </si>
  <si>
    <t>Juni  2021</t>
  </si>
  <si>
    <t>Juli  2021</t>
  </si>
  <si>
    <t>August 2021</t>
  </si>
  <si>
    <t>September  2021</t>
  </si>
  <si>
    <t>Oktober  2021</t>
  </si>
  <si>
    <t>November  2021</t>
  </si>
  <si>
    <t>Dezember  2021</t>
  </si>
  <si>
    <t>eigene Werte</t>
  </si>
  <si>
    <t>(einschließlich Sonderkürzungen durch das Energiesammelgesetz)</t>
  </si>
  <si>
    <t>B) Alle Anlagen, die größer als 100 kWp, maximal 750 kWp groß sind haben die Pflicht zur Direktvermarktung.</t>
  </si>
  <si>
    <t>Mai 2019  (ab 01.05.)</t>
  </si>
  <si>
    <t>Jun 2019  (ab 01.06.)</t>
  </si>
  <si>
    <t>Jul 2019  (ab 01.07.)</t>
  </si>
  <si>
    <t>Mai  2019</t>
  </si>
  <si>
    <t>Anzulegende Werte / Vergütungssätze</t>
  </si>
  <si>
    <t>§48</t>
  </si>
  <si>
    <t>Solare Strahlungsenergie (siehe Tabelle rechts)</t>
  </si>
  <si>
    <t>§49</t>
  </si>
  <si>
    <t>Aug 2019  (ab 01.08.)</t>
  </si>
  <si>
    <t>Sep 2019  (ab 01.09.)</t>
  </si>
  <si>
    <t>Okt 2019  (ab 01.10.)</t>
  </si>
  <si>
    <t>August  2019</t>
  </si>
  <si>
    <t>Nov 2019  (ab 01.11.)</t>
  </si>
  <si>
    <t>Dez 2019  (ab 01.12.)</t>
  </si>
  <si>
    <t>November  2019</t>
  </si>
  <si>
    <t>Feb 2020  (ab 01.02.)</t>
  </si>
  <si>
    <t>Mrz 2020  (ab 01.03.)</t>
  </si>
  <si>
    <t>Apr 2020  (ab 01.04.)</t>
  </si>
  <si>
    <t>Februar  2020</t>
  </si>
  <si>
    <t>Mai  2020</t>
  </si>
  <si>
    <t>Mai 2020  (ab 01.05.)</t>
  </si>
  <si>
    <t>Jun 2020  (ab 01.06.)</t>
  </si>
  <si>
    <t>Jul 2020  (ab 01.07.)</t>
  </si>
  <si>
    <t>Aug 2020  (ab 01.08.)</t>
  </si>
  <si>
    <t>Sep 2020  (ab 01.09.)</t>
  </si>
  <si>
    <t>Okt 2020  (ab 01.10.)</t>
  </si>
  <si>
    <t>August  2020</t>
  </si>
  <si>
    <t>Nov 2020  (ab 01.11.)</t>
  </si>
  <si>
    <t>Dez 2020  (ab 01.12.)</t>
  </si>
  <si>
    <t>Jan 2021  (ab 01.01.)</t>
  </si>
  <si>
    <t>Stand: 31.10.2020</t>
  </si>
  <si>
    <t>November 2020</t>
  </si>
  <si>
    <t>Januar  2022</t>
  </si>
  <si>
    <t>März  2022</t>
  </si>
  <si>
    <t>April  2022</t>
  </si>
  <si>
    <t>Juni  2022</t>
  </si>
  <si>
    <t>Juli  2022</t>
  </si>
  <si>
    <t>September  2022</t>
  </si>
  <si>
    <t>Oktober  2022</t>
  </si>
  <si>
    <t>November 2022</t>
  </si>
  <si>
    <t>Dezember  2022</t>
  </si>
  <si>
    <t>Januar  2023</t>
  </si>
  <si>
    <t>Februar  2023</t>
  </si>
  <si>
    <t>März  2023</t>
  </si>
  <si>
    <t>April  2023</t>
  </si>
  <si>
    <t>Mai  2023</t>
  </si>
  <si>
    <t>Juni  2023</t>
  </si>
  <si>
    <t>Juli  2023</t>
  </si>
  <si>
    <t>August  2023</t>
  </si>
  <si>
    <t>September  2023</t>
  </si>
  <si>
    <t>Oktober  2023</t>
  </si>
  <si>
    <t>November 2023</t>
  </si>
  <si>
    <t>Dezember  2023</t>
  </si>
  <si>
    <t>Februar  2021</t>
  </si>
  <si>
    <t>Aug 2022  (Prognose)</t>
  </si>
  <si>
    <t>Sep 2022  (Prognose)</t>
  </si>
  <si>
    <t>Okt 2022  (Prognose)</t>
  </si>
  <si>
    <t>Nov 2022  (Prognose)</t>
  </si>
  <si>
    <t>Dez 2022  (Prognose)</t>
  </si>
  <si>
    <t>Jan 2023  (Prognose)</t>
  </si>
  <si>
    <t>Feb 2023  (Prognose)</t>
  </si>
  <si>
    <t>Mrz 2023  (Prognose)</t>
  </si>
  <si>
    <t>Apr 2023 (Prognose)</t>
  </si>
  <si>
    <t>Mai 2023  (Prognose)</t>
  </si>
  <si>
    <t>Jun 2023  (Prognose)</t>
  </si>
  <si>
    <t>Jul 2023  (Prognose)</t>
  </si>
  <si>
    <t>Aug 2023  (Prognose)</t>
  </si>
  <si>
    <t>Sep 2023  (Prognose)</t>
  </si>
  <si>
    <t>Okt 2023  (Prognose)</t>
  </si>
  <si>
    <t>Nov 2023  (Prognose)</t>
  </si>
  <si>
    <t>Dez 2023  (Prognose)</t>
  </si>
  <si>
    <t>Feb 2021  (ab 01.02.)</t>
  </si>
  <si>
    <t>Mrz 2021  (ab 01.03.)</t>
  </si>
  <si>
    <t>Apr 2021  (ab 01.04.)</t>
  </si>
  <si>
    <t>Mai 2021  (ab 01.05.)</t>
  </si>
  <si>
    <t>Jun 2021  (ab 01.06.)</t>
  </si>
  <si>
    <t>Jul 2021  (ab 01.07.)</t>
  </si>
  <si>
    <t>Aug 2021  (ab 01.08.)</t>
  </si>
  <si>
    <t>Sep 2021  (ab 01.09.)</t>
  </si>
  <si>
    <t>Okt 2021  (ab 01.10)</t>
  </si>
  <si>
    <t>Nov 2021  (ab 01.11.)</t>
  </si>
  <si>
    <t>Dez 2021  (ab 01.12.)</t>
  </si>
  <si>
    <t>Jan 2022  (ab 01.01.)</t>
  </si>
  <si>
    <t>1= Konversionsanlage= Freiland</t>
  </si>
  <si>
    <t>2= Freilandanlage</t>
  </si>
  <si>
    <t>3= Dachanlage</t>
  </si>
  <si>
    <t>4= Dachanlage im Außenbereich</t>
  </si>
  <si>
    <t>Auschreibungspflicht ?</t>
  </si>
  <si>
    <t>Anl.größe</t>
  </si>
  <si>
    <t>Anl.typ</t>
  </si>
  <si>
    <t>kWp</t>
  </si>
  <si>
    <t>(intern)</t>
  </si>
  <si>
    <t>EEG 2021</t>
  </si>
  <si>
    <t>EEG 300-750 kWp</t>
  </si>
  <si>
    <t>kWh</t>
  </si>
  <si>
    <t>Ergebnisdarstellung Anlagekosten</t>
  </si>
  <si>
    <t>Ergebnisdarstellung Dachanlage 300</t>
  </si>
  <si>
    <t>Anlagetyp</t>
  </si>
  <si>
    <t>Grenze</t>
  </si>
  <si>
    <t>Vollkosten der Stromerzeugung</t>
  </si>
  <si>
    <t>NEU:  EEG 2021</t>
  </si>
  <si>
    <t>EEG 2021 ab 01.01.2021</t>
  </si>
  <si>
    <t>Das EEG 2021 schreibt den mit dem EEG 2014 eingeleiteten Systemwechsel fort !</t>
  </si>
  <si>
    <t>Die Ziele der Energiewende werden neu formuliert &gt; 100 GWp Photovoltaik bis 2030</t>
  </si>
  <si>
    <t>Eine Vielzahl von Regelungen zur Netzeinbindung und Netzdienlichkeit von PV-Strom werden formuliert oder geschärft.</t>
  </si>
  <si>
    <t xml:space="preserve">Erstmals wird eine Anschlussregelung für "ausgeförderte Anlagen" bis 100 kWp formuliert. </t>
  </si>
  <si>
    <t>Für die Absenkung/Erhöhung der anzulegenden Werte für Strom aus solarer Strahlungsenergie werden</t>
  </si>
  <si>
    <t>neue Grenzen und geringfügig kleinere Prozentwerte festgelegt.</t>
  </si>
  <si>
    <t>In Bezug auf die Ökonomik von Einspeiseanlagen mit Vergütungsanspruch bzw. Anspruch auf Marktprämie</t>
  </si>
  <si>
    <t>gibt es folgende Änderungen (nicht abschließende Liste):</t>
  </si>
  <si>
    <t>A) Anlagen mit einer installierten Leistung von mehr als  300  bis einschließlich 750 kWp (an, auf oder in</t>
  </si>
  <si>
    <t xml:space="preserve">einem Gebäude oder Lärmschutzwand) haben nur für 50% der erzeugten Strommmenge einen Anspruch </t>
  </si>
  <si>
    <t>auf Vergütung. Für den über 50% hinausgehenden Anteil der erzeugten Strommenge reduziert sich der</t>
  </si>
  <si>
    <r>
      <t xml:space="preserve">B) Die </t>
    </r>
    <r>
      <rPr>
        <b/>
        <sz val="10"/>
        <color rgb="FF0000FF"/>
        <rFont val="Arial"/>
        <family val="2"/>
      </rPr>
      <t>Befreiungsgrenze von der EEG-Umlage</t>
    </r>
    <r>
      <rPr>
        <sz val="10"/>
        <color rgb="FF0000FF"/>
        <rFont val="Arial"/>
        <family val="2"/>
      </rPr>
      <t xml:space="preserve"> bei Eigenversorgungen wurde von 10 kWp auf </t>
    </r>
    <r>
      <rPr>
        <b/>
        <sz val="10"/>
        <color rgb="FF0000FF"/>
        <rFont val="Arial"/>
        <family val="2"/>
      </rPr>
      <t>30 kWp</t>
    </r>
    <r>
      <rPr>
        <sz val="10"/>
        <color rgb="FF0000FF"/>
        <rFont val="Arial"/>
        <family val="2"/>
      </rPr>
      <t xml:space="preserve"> angehoben. </t>
    </r>
  </si>
  <si>
    <r>
      <t xml:space="preserve">Anspruch auf Null. </t>
    </r>
    <r>
      <rPr>
        <b/>
        <sz val="10"/>
        <color rgb="FFFF0000"/>
        <rFont val="Arial"/>
        <family val="2"/>
      </rPr>
      <t>Diese Regelung gilt erst für Anlagen ab Inbetriebnahmedatum 01.April 2021</t>
    </r>
    <r>
      <rPr>
        <sz val="10"/>
        <color rgb="FFFF0000"/>
        <rFont val="Arial"/>
        <family val="2"/>
      </rPr>
      <t xml:space="preserve"> (§100 Abs.9).
</t>
    </r>
  </si>
  <si>
    <t>(Voreinstellung: 3,0% Zinsansatz; Verzinsung des Kapitals)</t>
  </si>
  <si>
    <t>EEG 2021  (ab 01/2021)</t>
  </si>
  <si>
    <r>
      <t xml:space="preserve">EEG 2017 </t>
    </r>
    <r>
      <rPr>
        <sz val="14"/>
        <rFont val="Arial"/>
        <family val="2"/>
      </rPr>
      <t>(bis 31.21.2018; vor Sonderkürzungen durch Energiesammelgesetz)</t>
    </r>
  </si>
  <si>
    <t>Zurück</t>
  </si>
  <si>
    <t>Aktueller Stand der Vergütungen nach EEG 2021</t>
  </si>
  <si>
    <t>- bitte prüfen Sie die Aussagen anhand des EEG 2021 Original-Gesetzestextes</t>
  </si>
  <si>
    <t xml:space="preserve">https://www.bundesnetzagentur.de/DE/Sachgebiete/ElektrizitaetundGas/Unternehmen_Institutionen/ErneuerbareEnergien/ZahlenDatenInformationen/EEG_Registerdaten/EEG_Registerdaten_node.html </t>
  </si>
  <si>
    <t xml:space="preserve">https://www.solarwirtschaft.de/eeg.html </t>
  </si>
  <si>
    <t>(BSW-Seite)</t>
  </si>
  <si>
    <t>https://www.solarwirtschaft.de/eeg.html</t>
  </si>
  <si>
    <t>PV-Anlagen, die größer als 750 kWp sind unterliegen der Ausschreibungs-</t>
  </si>
  <si>
    <t>pflicht (§22; Wettbewerbliche Ermittlung der Marktprämie)</t>
  </si>
  <si>
    <t>Max. Ausschreibungsgröße = 20.000 kWp (20 MW)</t>
  </si>
  <si>
    <t>(NEU)</t>
  </si>
  <si>
    <t>Anlagen mit Anspruch auf Marktprämie und Pflicht zur Direktvermarktung:</t>
  </si>
  <si>
    <t>Berechnung nach Anlage 1</t>
  </si>
  <si>
    <t>§ 48 Abs. 5</t>
  </si>
  <si>
    <t xml:space="preserve">Bei Dach- und Fassadenanlagen größer 300 bis 750 kWp  wird </t>
  </si>
  <si>
    <t>(Achtung !)</t>
  </si>
  <si>
    <t>der Anspruch auf Marktprämie auf 50% der erzeugten Strom-</t>
  </si>
  <si>
    <t>menge begrenzt. Gilt nicht für Freilandanlagen !</t>
  </si>
  <si>
    <t>§100 Abs. 9</t>
  </si>
  <si>
    <t>Begrenzung nach §48 Abs.5 gültig ab IB 01.04.2021 (Übergangsregelung)</t>
  </si>
  <si>
    <t>Befreiungstatbestände siehe §61a bis 61g; 61l und 69b (EEG 2021)</t>
  </si>
  <si>
    <t>§61b Abs. 2</t>
  </si>
  <si>
    <t>Anlagen bis 30 kWp sind von der EEG-Umlage befreit.</t>
  </si>
  <si>
    <t>Die Befreiung gilt für max. 30.000 kWh eigen verbrauchten Stroms</t>
  </si>
  <si>
    <t>§3 Ziff. 19</t>
  </si>
  <si>
    <t>In Fällen, in denen "Personenidendität" im Sinne von §3, Ziff. 19,</t>
  </si>
  <si>
    <t>§61b Abs. 1</t>
  </si>
  <si>
    <t xml:space="preserve"> EEG 2021 besteht, vermindert sich die zu entrichtende </t>
  </si>
  <si>
    <t>EEG-Umlage auf 40% (§61b Abs. 1)</t>
  </si>
  <si>
    <t xml:space="preserve">Absenkung/Erhöhung der anzulegenden Werte </t>
  </si>
  <si>
    <r>
      <t xml:space="preserve">Förderanspruch für Strom - </t>
    </r>
    <r>
      <rPr>
        <b/>
        <sz val="11"/>
        <color indexed="10"/>
        <rFont val="Arial"/>
        <family val="2"/>
      </rPr>
      <t>Anspruch auf Einspeisevergütung nach § 37</t>
    </r>
    <r>
      <rPr>
        <sz val="10"/>
        <rFont val="Arial"/>
        <family val="2"/>
      </rPr>
      <t xml:space="preserve"> (und § 38)</t>
    </r>
  </si>
  <si>
    <r>
      <t xml:space="preserve">monatliche Degression = </t>
    </r>
    <r>
      <rPr>
        <b/>
        <sz val="11"/>
        <color indexed="10"/>
        <rFont val="Arial"/>
        <family val="2"/>
      </rPr>
      <t>0,5%</t>
    </r>
    <r>
      <rPr>
        <sz val="10"/>
        <rFont val="Arial"/>
        <family val="2"/>
      </rPr>
      <t>;</t>
    </r>
    <r>
      <rPr>
        <b/>
        <sz val="11"/>
        <color indexed="10"/>
        <rFont val="Arial"/>
        <family val="2"/>
      </rPr>
      <t xml:space="preserve"> Beginn ab 1. September 2014</t>
    </r>
  </si>
  <si>
    <r>
      <rPr>
        <b/>
        <sz val="11"/>
        <color indexed="10"/>
        <rFont val="Arial"/>
        <family val="2"/>
      </rPr>
      <t>Befreiung</t>
    </r>
    <r>
      <rPr>
        <sz val="10"/>
        <rFont val="Arial"/>
        <family val="2"/>
      </rPr>
      <t xml:space="preserve"> von der EEG-Umlage bei Anlagen </t>
    </r>
    <r>
      <rPr>
        <b/>
        <sz val="11"/>
        <color indexed="10"/>
        <rFont val="Arial"/>
        <family val="2"/>
      </rPr>
      <t>bis 10 kWp</t>
    </r>
    <r>
      <rPr>
        <sz val="10"/>
        <rFont val="Arial"/>
        <family val="2"/>
      </rPr>
      <t>; max. 10.000 kWh</t>
    </r>
  </si>
  <si>
    <r>
      <rPr>
        <b/>
        <sz val="11"/>
        <color indexed="10"/>
        <rFont val="Arial"/>
        <family val="2"/>
      </rPr>
      <t>Befreiung</t>
    </r>
    <r>
      <rPr>
        <sz val="10"/>
        <rFont val="Arial"/>
        <family val="2"/>
      </rPr>
      <t xml:space="preserve"> von der EEG-Umlage bei </t>
    </r>
    <r>
      <rPr>
        <b/>
        <sz val="11"/>
        <color indexed="10"/>
        <rFont val="Arial"/>
        <family val="2"/>
      </rPr>
      <t>Bestandsanlagen</t>
    </r>
    <r>
      <rPr>
        <sz val="10"/>
        <rFont val="Arial"/>
        <family val="2"/>
      </rPr>
      <t xml:space="preserve"> mit Inbetriebnahme von 1.08.2014</t>
    </r>
  </si>
  <si>
    <t>EEG-Umlage-Pflicht:</t>
  </si>
  <si>
    <t xml:space="preserve">      besteht die volle EEG-Umlagepflicht (siehe dazu auch EEG 2014, §5 Ziff. 12 und 24; §§ 60, 61)</t>
  </si>
  <si>
    <r>
      <t xml:space="preserve">  &gt;&gt; </t>
    </r>
    <r>
      <rPr>
        <b/>
        <sz val="10"/>
        <color rgb="FF0000FF"/>
        <rFont val="Arial"/>
        <family val="2"/>
      </rPr>
      <t>Volle Umlagepflicht (100%)</t>
    </r>
    <r>
      <rPr>
        <sz val="10"/>
        <color rgb="FF0000FF"/>
        <rFont val="Arial"/>
        <family val="2"/>
      </rPr>
      <t>: Ist Eigenstromnutzer (Letztverbraucher) und Anlagenbetreiber nicht "personenidentisch"</t>
    </r>
  </si>
  <si>
    <r>
      <t xml:space="preserve">  &gt;&gt; </t>
    </r>
    <r>
      <rPr>
        <b/>
        <sz val="10"/>
        <color indexed="12"/>
        <rFont val="Arial"/>
        <family val="2"/>
      </rPr>
      <t>anteilige EEG-Umlagepflicht:</t>
    </r>
    <r>
      <rPr>
        <sz val="10"/>
        <color indexed="12"/>
        <rFont val="Arial"/>
        <family val="2"/>
      </rPr>
      <t xml:space="preserve"> besteht dann, wenn Anlagenbetreiber und Eigenstrom-</t>
    </r>
  </si>
  <si>
    <t xml:space="preserve">       nutzer "personenidentisch" sind. Höhe = 40% (ab 1.1.2017; Übergangszeitraum 2014 bis 2016 =reduzierte Sätze)</t>
  </si>
  <si>
    <r>
      <t xml:space="preserve">  &gt;&gt; Von der </t>
    </r>
    <r>
      <rPr>
        <b/>
        <sz val="10"/>
        <color rgb="FF0000FF"/>
        <rFont val="Arial"/>
        <family val="2"/>
      </rPr>
      <t>EEG-Umlage befreit sind Anlagen kleiner 10 kWp</t>
    </r>
    <r>
      <rPr>
        <sz val="10"/>
        <color rgb="FF0000FF"/>
        <rFont val="Arial"/>
        <family val="2"/>
      </rPr>
      <t>; weitere Ausnahmeregelungen siehe EEG</t>
    </r>
  </si>
  <si>
    <r>
      <t xml:space="preserve">  </t>
    </r>
    <r>
      <rPr>
        <b/>
        <sz val="10"/>
        <color indexed="12"/>
        <rFont val="Arial"/>
        <family val="2"/>
      </rPr>
      <t>EEG 2021</t>
    </r>
    <r>
      <rPr>
        <sz val="10"/>
        <color indexed="12"/>
        <rFont val="Arial"/>
        <family val="2"/>
      </rPr>
      <t>: Die Pflicht zur Entrichtung der EEG-Umlage auf eigen genutzten Strom bleibt bestehen.</t>
    </r>
  </si>
  <si>
    <r>
      <t xml:space="preserve">  </t>
    </r>
    <r>
      <rPr>
        <b/>
        <sz val="10"/>
        <color indexed="12"/>
        <rFont val="Arial"/>
        <family val="2"/>
      </rPr>
      <t>EEG 2017</t>
    </r>
    <r>
      <rPr>
        <sz val="10"/>
        <color indexed="12"/>
        <rFont val="Arial"/>
        <family val="2"/>
      </rPr>
      <t>: Die Pflicht zur Entrichtung der EEG-Umlage auf eigen genutzten Strom bleibt bestehen. Bagatellgrenze = 10 kWp</t>
    </r>
  </si>
  <si>
    <r>
      <t xml:space="preserve">   </t>
    </r>
    <r>
      <rPr>
        <b/>
        <sz val="10"/>
        <color indexed="12"/>
        <rFont val="Arial"/>
        <family val="2"/>
      </rPr>
      <t xml:space="preserve">               Erhöhung der Bagatellgrenze auf 30 kWp</t>
    </r>
    <r>
      <rPr>
        <sz val="10"/>
        <color indexed="12"/>
        <rFont val="Arial"/>
        <family val="2"/>
      </rPr>
      <t xml:space="preserve"> (Befreiung von der EEG Umlage für Anlagen kleiner 30 kWp.</t>
    </r>
  </si>
  <si>
    <r>
      <t xml:space="preserve"> </t>
    </r>
    <r>
      <rPr>
        <b/>
        <u/>
        <sz val="10"/>
        <color indexed="8"/>
        <rFont val="Arial"/>
        <family val="2"/>
      </rPr>
      <t>EEG 2021: Ausschreibungspflichtige Anlage:</t>
    </r>
    <r>
      <rPr>
        <sz val="10"/>
        <color indexed="8"/>
        <rFont val="Arial"/>
        <family val="2"/>
      </rPr>
      <t xml:space="preserve"> </t>
    </r>
  </si>
  <si>
    <t xml:space="preserve">  Alle Anlagen größer 750 kWp sind nach den Bestimmungen des EEG 2021 verpflichtet an den</t>
  </si>
  <si>
    <r>
      <rPr>
        <b/>
        <sz val="10"/>
        <rFont val="Arial"/>
        <family val="2"/>
      </rPr>
      <t xml:space="preserve">  </t>
    </r>
    <r>
      <rPr>
        <b/>
        <u/>
        <sz val="10"/>
        <rFont val="Arial"/>
        <family val="2"/>
      </rPr>
      <t>EEG 2021: MARKTPRÄMIEN-Modell - Anlage (&lt;= 750 kWp)</t>
    </r>
  </si>
  <si>
    <t xml:space="preserve">  Sonderfall: </t>
  </si>
  <si>
    <t xml:space="preserve">  Anlagen mit einer installierten Leistung von mehr als  300  bis einschließlich 750 kWp (an, auf oder in</t>
  </si>
  <si>
    <t xml:space="preserve">  einem Gebäude oder Lärmschutzwand) haben nur für 50% der erzeugten Strommmenge einen Anspruch </t>
  </si>
  <si>
    <t xml:space="preserve">  auf Vergütung. Für den über 50% hinausgehenden Anteil der erzeugten Strommenge reduziert sich der</t>
  </si>
  <si>
    <r>
      <t xml:space="preserve">   Anspruch auf null. </t>
    </r>
    <r>
      <rPr>
        <b/>
        <sz val="10"/>
        <color rgb="FFFF0000"/>
        <rFont val="Arial"/>
        <family val="2"/>
      </rPr>
      <t>Diese Regelung gilt erst für Anlagen ab Inbetriebnahmedatum 01.April 2021</t>
    </r>
    <r>
      <rPr>
        <sz val="10"/>
        <color rgb="FFFF0000"/>
        <rFont val="Arial"/>
        <family val="2"/>
      </rPr>
      <t xml:space="preserve"> (§100 Abs.9).
</t>
    </r>
  </si>
  <si>
    <t>Feb 2022  (ab 01.02.)</t>
  </si>
  <si>
    <t>Mrz 2022  (ab 01.03.)</t>
  </si>
  <si>
    <t>Apr 2022  (ab 01.04.)</t>
  </si>
  <si>
    <t>Februar  2022</t>
  </si>
  <si>
    <t>(Voreinstellung: EEG-Umlagepflicht 2022 = 3,723 Cent/kWh; anteilige EEG-Umlagepflicht = 40%)</t>
  </si>
  <si>
    <t xml:space="preserve">  Derzeit ist im Programm 3% voreingestellt - aus folgendem Grund: Im Februar 2022 lässt sich eine</t>
  </si>
  <si>
    <t xml:space="preserve">  PV-Anlage zu rund 1% (Zinsen) finanzieren. Für Unternehmerrisiko und -gewinn wurde eine Auf-</t>
  </si>
  <si>
    <t>01. Mai 2022; Vers. 4.3.3</t>
  </si>
  <si>
    <r>
      <t xml:space="preserve">PV-Anlage steht zusätzlich der </t>
    </r>
    <r>
      <rPr>
        <b/>
        <sz val="12"/>
        <color indexed="12"/>
        <rFont val="Comic Sans MS"/>
        <family val="4"/>
      </rPr>
      <t>Photovoltaik-Rechner Vers. 10.0.6</t>
    </r>
  </si>
  <si>
    <t>(Voreinstellung: Mai 2022)</t>
  </si>
  <si>
    <t xml:space="preserve">  &gt;&gt; Grundsätzlich besteht ab dem 01.08.2014 die Pflicht zur Zahlung der EEG-Umlage für Eigenstrom.</t>
  </si>
  <si>
    <t xml:space="preserve">Das vorliegende Programm beinhaltet den Stand vom Mai 2022 und wurde mit äußerster  </t>
  </si>
  <si>
    <t>Mai 2022  (ab 01.05.)</t>
  </si>
  <si>
    <t>Jun 2022  (ab 01.06.)</t>
  </si>
  <si>
    <t>Jul 2022  (ab 01.07.)</t>
  </si>
  <si>
    <t>Mai  2022</t>
  </si>
  <si>
    <t>Stand: 30.04.2022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</si>
</sst>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7">
    <numFmt numFmtId="44" formatCode="_-* #,##0.00\ &quot;€&quot;_-;\-* #,##0.00\ &quot;€&quot;_-;_-* &quot;-&quot;??\ &quot;€&quot;_-;_-@_-"/>
    <numFmt numFmtId="164" formatCode="0.0000"/>
    <numFmt numFmtId="165" formatCode="0.0%"/>
    <numFmt numFmtId="166" formatCode="0.00\ &quot;kWp&quot;"/>
    <numFmt numFmtId="167" formatCode="#,##0\ &quot;€/kWp&quot;"/>
    <numFmt numFmtId="168" formatCode="#,##0\ &quot;€&quot;"/>
    <numFmt numFmtId="169" formatCode="#,##0\ &quot;Jahre&quot;"/>
    <numFmt numFmtId="170" formatCode="#,##0\ &quot;€&quot;;#,##0\ &quot;€&quot;;[White]0"/>
    <numFmt numFmtId="171" formatCode="#,##0\ &quot;kWh&quot;"/>
    <numFmt numFmtId="172" formatCode="&quot;bis&quot;\ 0\ &quot;kWp&quot;"/>
    <numFmt numFmtId="173" formatCode="&quot;10 bis&quot;\ #,##0\ &quot;kWp&quot;"/>
    <numFmt numFmtId="174" formatCode="&quot;1.000 bis&quot;\ #,##0\ &quot;kWp&quot;"/>
    <numFmt numFmtId="175" formatCode="#,##0\ &quot;€&quot;;[Red]\-\ #,##0\ &quot;€&quot;;[White]#,##0\ &quot;€&quot;"/>
    <numFmt numFmtId="176" formatCode="#,##0.0000\ &quot;€/kWh&quot;;[Red]\-\ #,##0.0000\ &quot;€/kWh&quot;;[White]#,##0.0000\ &quot;€/kWh&quot;"/>
    <numFmt numFmtId="177" formatCode="&quot;10-&quot;\ #,##0&quot;kWp&quot;"/>
    <numFmt numFmtId="178" formatCode="&quot;30-&quot;\ #,##0&quot;kWp&quot;"/>
    <numFmt numFmtId="179" formatCode="&quot;100-&quot;\ #,##0&quot;kWp&quot;"/>
    <numFmt numFmtId="180" formatCode="&quot;über&quot;\ #,##0&quot;kWp&quot;"/>
    <numFmt numFmtId="181" formatCode="0.000"/>
    <numFmt numFmtId="182" formatCode="#,##0\ &quot;bis&quot;"/>
    <numFmt numFmtId="183" formatCode="#,##0\ &quot;kWp&quot;"/>
    <numFmt numFmtId="184" formatCode="#,##0\ &quot;kWp&quot;;0;[White]0"/>
    <numFmt numFmtId="185" formatCode="&quot;max.&quot;\ #,##0\ &quot;kWp&quot;"/>
    <numFmt numFmtId="186" formatCode="&quot;über&quot;\ 0\ &quot;kWp&quot;"/>
    <numFmt numFmtId="187" formatCode="&quot;bis&quot;\ 0%"/>
    <numFmt numFmtId="188" formatCode="#,##0\ &quot;kWh/kWp&quot;"/>
    <numFmt numFmtId="189" formatCode="0.0%;\-\ 0.0%;0.0%"/>
    <numFmt numFmtId="190" formatCode="0.0"/>
    <numFmt numFmtId="191" formatCode="0\ &quot;kWp&quot;"/>
    <numFmt numFmtId="192" formatCode="0;0;[Black]0"/>
    <numFmt numFmtId="193" formatCode="#,##0.000"/>
    <numFmt numFmtId="194" formatCode="#,##0.0"/>
    <numFmt numFmtId="195" formatCode="#,##0\ &quot;kWh/Jahr&quot;;#,##0;[White]#,##0"/>
    <numFmt numFmtId="196" formatCode="#,##0\ &quot;kWh&quot;;#,##0;[White]#,##0"/>
    <numFmt numFmtId="197" formatCode="0.00\ &quot;kWp&quot;;[Red]\-\ 0.00\ &quot;kWp&quot;;[White]0.00\ &quot;kWp&quot;"/>
    <numFmt numFmtId="198" formatCode="#,##0;[Red]\-\ #,##0;#,##0"/>
    <numFmt numFmtId="199" formatCode="&quot;(&quot;#,##0\ \ &quot;€/kWp )&quot;"/>
    <numFmt numFmtId="200" formatCode="#,##0.0\ &quot;€&quot;"/>
    <numFmt numFmtId="201" formatCode="&quot;(&quot;#,##0\ &quot;€&quot;&quot;)&quot;"/>
    <numFmt numFmtId="202" formatCode="0%;\-\ 0%;0%"/>
    <numFmt numFmtId="203" formatCode="&quot;über&quot;\ 0%"/>
    <numFmt numFmtId="204" formatCode="#,##0\ &quot;kWh&quot;;#,##0\ &quot;kWh&quot;;[White]#,##0\ &quot;kWh&quot;"/>
    <numFmt numFmtId="205" formatCode="#,##0\ &quot;€&quot;;[Red]\-#,##0\ &quot;€&quot;;[White]#,##0\ &quot;€&quot;"/>
    <numFmt numFmtId="206" formatCode="#,##0&quot; &quot;"/>
    <numFmt numFmtId="207" formatCode="0%\ &quot;Eigenstrom&quot;"/>
    <numFmt numFmtId="208" formatCode="#,##0.0000_ ;[Red]\-#,##0.0000\ "/>
    <numFmt numFmtId="209" formatCode="#,##0\ &quot;€&quot;;[Red]\-#,##0\ &quot;€&quot;;[White]0"/>
    <numFmt numFmtId="210" formatCode="&quot;i =&quot;\ #,##0.000_ ;&quot;i =&quot;\ \-#,##0.000\ "/>
    <numFmt numFmtId="211" formatCode="&quot;Sn=&quot;\ 0.0000"/>
    <numFmt numFmtId="212" formatCode="#,##0\ &quot;€&quot;;\-\ #,##0\ &quot;€&quot;;[White]#,##0\ &quot;€&quot;"/>
    <numFmt numFmtId="213" formatCode="&quot;rd.&quot;\ 0.0\ &quot;Cent/kWh&quot;;[Red]&quot;rd.&quot;\ \-0.0\ &quot;Cent/kWh&quot;;&quot;rd.&quot;\ 0.0\ &quot;Cent/kWh&quot;"/>
    <numFmt numFmtId="214" formatCode="#,##0.0000"/>
    <numFmt numFmtId="215" formatCode="&quot;40-&quot;\ #,##0&quot;kWp&quot;"/>
    <numFmt numFmtId="216" formatCode="#,##0&quot; - 10.000 kWp&quot;"/>
    <numFmt numFmtId="217" formatCode="#,##0\ &quot;€&quot;;[Red]\-\ #,##0\ &quot;€&quot;;#,##0\ &quot;€&quot;"/>
    <numFmt numFmtId="218" formatCode="&quot;rd.&quot;\ 0.0\ &quot;Cent/kWh&quot;;[Red]&quot;rd.&quot;\ \-\ 0.0\ &quot;Cent/kWh&quot;;&quot;rd.&quot;\ 0.0\ &quot;Cent/kWh&quot;"/>
    <numFmt numFmtId="219" formatCode="#,##0.00\ &quot;kWp&quot;"/>
    <numFmt numFmtId="220" formatCode="0\ &quot;Jahre&quot;"/>
    <numFmt numFmtId="221" formatCode="&quot;(&quot;\ #,##0\ &quot;kWh/kWp )&quot;"/>
    <numFmt numFmtId="222" formatCode="&quot;(&quot;0.0%&quot;)&quot;;&quot;(&quot;\-\ 0.0%&quot;)&quot;;&quot;(&quot;0.0%&quot;)&quot;"/>
    <numFmt numFmtId="223" formatCode="&quot;(&quot;0\ &quot;J.)&quot;"/>
    <numFmt numFmtId="224" formatCode="0.0000\ &quot;*&quot;"/>
    <numFmt numFmtId="225" formatCode="&quot; &quot;#,##0.00\ &quot;Cent/kWh&quot;"/>
    <numFmt numFmtId="226" formatCode="#,##0\ &quot;Monate&quot;"/>
    <numFmt numFmtId="227" formatCode="0.00000"/>
    <numFmt numFmtId="228" formatCode="#,##0.0000\ &quot;€/kWh&quot;;[Red]\-\ #,##0.0000\ &quot;€/kWh&quot;;[Black]#,##0.0000\ &quot;€/kWh&quot;"/>
    <numFmt numFmtId="229" formatCode="&quot;&quot;\ 0.00\ &quot;Cent/kWh&quot;;[Red]&quot;rd.&quot;\ \-\ 0.00\ &quot;Cent/kWh&quot;;&quot;rd.&quot;\ 0.00\ &quot;Cent/kWh&quot;"/>
    <numFmt numFmtId="230" formatCode="&quot;+EEG-Uml.&quot;\ 0.00\ &quot;Cent/kWh&quot;;[Red]&quot;+EEG-Uml.&quot;\ \-\ 0.00\ &quot;Cent/kWh&quot;;&quot;+EEG-Uml.&quot;\ 0.00\ &quot;Cent/kWh&quot;"/>
    <numFmt numFmtId="231" formatCode="0.000000"/>
    <numFmt numFmtId="232" formatCode="&quot;+&quot;\ 0.00%"/>
    <numFmt numFmtId="233" formatCode="#,##0.0000\ &quot;€&quot;"/>
    <numFmt numFmtId="234" formatCode="&quot;0 - &quot;0\ &quot;%&quot;"/>
    <numFmt numFmtId="235" formatCode="&quot;über &quot;0\ &quot;%&quot;"/>
    <numFmt numFmtId="236" formatCode="0\ &quot;%&quot;"/>
    <numFmt numFmtId="237" formatCode="&quot;EEG-Umlage:&quot;\ 0.00&quot; Cent/kWh)&quot;"/>
    <numFmt numFmtId="238" formatCode="&quot;rd.&quot;\ 0.00\ &quot;Cent/kWh&quot;;[Red]&quot;rd.&quot;\ \-\ 0.00\ &quot;Cent/kWh&quot;;&quot;rd.&quot;\ 0.00\ &quot;Cent/kWh&quot;"/>
    <numFmt numFmtId="239" formatCode="&quot;rd.&quot;\ 0.00\ &quot;Ct/kWh&quot;;[Red]&quot;rd.&quot;\ \-\ 0.00\ &quot;Ct/kWh&quot;;&quot;rd.&quot;\ 0.00\ &quot;Ct/kWh&quot;"/>
  </numFmts>
  <fonts count="138">
    <font>
      <sz val="10"/>
      <name val="Arial"/>
    </font>
    <font>
      <sz val="10"/>
      <name val="Arial"/>
    </font>
    <font>
      <u/>
      <sz val="10"/>
      <color indexed="12"/>
      <name val="Arial"/>
      <family val="2"/>
    </font>
    <font>
      <sz val="8"/>
      <name val="Arial"/>
      <family val="2"/>
    </font>
    <font>
      <b/>
      <sz val="10"/>
      <name val="Arial"/>
      <family val="2"/>
    </font>
    <font>
      <sz val="10"/>
      <name val="Arial"/>
      <family val="2"/>
    </font>
    <font>
      <b/>
      <sz val="12"/>
      <name val="Arial"/>
      <family val="2"/>
    </font>
    <font>
      <sz val="7"/>
      <name val="Arial"/>
      <family val="2"/>
    </font>
    <font>
      <b/>
      <sz val="14"/>
      <name val="Arial"/>
      <family val="2"/>
    </font>
    <font>
      <sz val="10"/>
      <name val="Arial"/>
      <family val="2"/>
    </font>
    <font>
      <sz val="6"/>
      <name val="Arial"/>
      <family val="2"/>
    </font>
    <font>
      <b/>
      <sz val="11"/>
      <name val="Arial"/>
      <family val="2"/>
    </font>
    <font>
      <b/>
      <u/>
      <sz val="10"/>
      <name val="Arial"/>
      <family val="2"/>
    </font>
    <font>
      <sz val="11"/>
      <name val="Arial"/>
      <family val="2"/>
    </font>
    <font>
      <b/>
      <sz val="9"/>
      <name val="Arial"/>
      <family val="2"/>
    </font>
    <font>
      <sz val="9"/>
      <name val="Arial"/>
      <family val="2"/>
    </font>
    <font>
      <sz val="9"/>
      <name val="Symbol"/>
      <family val="1"/>
      <charset val="2"/>
    </font>
    <font>
      <sz val="10"/>
      <color indexed="12"/>
      <name val="Arial"/>
      <family val="2"/>
    </font>
    <font>
      <b/>
      <sz val="9"/>
      <color indexed="12"/>
      <name val="Arial"/>
      <family val="2"/>
    </font>
    <font>
      <b/>
      <sz val="9"/>
      <color indexed="10"/>
      <name val="Arial"/>
      <family val="2"/>
    </font>
    <font>
      <sz val="10"/>
      <color indexed="9"/>
      <name val="Arial"/>
      <family val="2"/>
    </font>
    <font>
      <sz val="9"/>
      <color indexed="10"/>
      <name val="Arial"/>
      <family val="2"/>
    </font>
    <font>
      <sz val="10"/>
      <color indexed="10"/>
      <name val="Arial"/>
      <family val="2"/>
    </font>
    <font>
      <sz val="9"/>
      <color indexed="12"/>
      <name val="Arial"/>
      <family val="2"/>
    </font>
    <font>
      <sz val="10"/>
      <color indexed="17"/>
      <name val="Arial"/>
      <family val="2"/>
    </font>
    <font>
      <sz val="9"/>
      <color indexed="17"/>
      <name val="Arial"/>
      <family val="2"/>
    </font>
    <font>
      <sz val="8"/>
      <color indexed="13"/>
      <name val="Arial"/>
      <family val="2"/>
    </font>
    <font>
      <b/>
      <sz val="6"/>
      <color indexed="13"/>
      <name val="Arial"/>
      <family val="2"/>
    </font>
    <font>
      <sz val="10"/>
      <color indexed="63"/>
      <name val="Arial"/>
      <family val="2"/>
    </font>
    <font>
      <b/>
      <sz val="10"/>
      <color indexed="63"/>
      <name val="Arial"/>
      <family val="2"/>
    </font>
    <font>
      <sz val="8"/>
      <name val="Arial"/>
      <family val="2"/>
    </font>
    <font>
      <b/>
      <sz val="9"/>
      <name val="Arial Narrow"/>
      <family val="2"/>
    </font>
    <font>
      <b/>
      <sz val="11"/>
      <name val="Arial"/>
      <family val="2"/>
    </font>
    <font>
      <sz val="10"/>
      <name val="Symbol"/>
      <family val="1"/>
      <charset val="2"/>
    </font>
    <font>
      <sz val="8"/>
      <color indexed="81"/>
      <name val="Tahoma"/>
      <family val="2"/>
    </font>
    <font>
      <b/>
      <sz val="8"/>
      <color indexed="81"/>
      <name val="Tahoma"/>
      <family val="2"/>
    </font>
    <font>
      <b/>
      <sz val="11"/>
      <color indexed="10"/>
      <name val="Arial"/>
      <family val="2"/>
    </font>
    <font>
      <b/>
      <sz val="10"/>
      <name val="Symbol"/>
      <family val="1"/>
      <charset val="2"/>
    </font>
    <font>
      <sz val="12"/>
      <name val="Arial"/>
      <family val="2"/>
    </font>
    <font>
      <b/>
      <sz val="8"/>
      <name val="Arial"/>
      <family val="2"/>
    </font>
    <font>
      <sz val="8"/>
      <name val="Arial Narrow"/>
      <family val="2"/>
    </font>
    <font>
      <sz val="10"/>
      <name val="Calibri"/>
      <family val="2"/>
    </font>
    <font>
      <b/>
      <u/>
      <sz val="11"/>
      <name val="Arial"/>
      <family val="2"/>
    </font>
    <font>
      <b/>
      <sz val="9"/>
      <color indexed="14"/>
      <name val="Arial"/>
      <family val="2"/>
    </font>
    <font>
      <i/>
      <sz val="8"/>
      <name val="Arial"/>
      <family val="2"/>
    </font>
    <font>
      <b/>
      <i/>
      <sz val="10"/>
      <name val="Arial"/>
      <family val="2"/>
    </font>
    <font>
      <u/>
      <sz val="11"/>
      <name val="Arial"/>
      <family val="2"/>
    </font>
    <font>
      <i/>
      <sz val="9"/>
      <name val="Arial"/>
      <family val="2"/>
    </font>
    <font>
      <sz val="14"/>
      <name val="Arial"/>
      <family val="2"/>
    </font>
    <font>
      <b/>
      <sz val="16"/>
      <name val="Arial"/>
      <family val="2"/>
    </font>
    <font>
      <b/>
      <sz val="10"/>
      <color indexed="12"/>
      <name val="Arial"/>
      <family val="2"/>
    </font>
    <font>
      <sz val="8"/>
      <name val="Comic Sans MS"/>
      <family val="4"/>
    </font>
    <font>
      <sz val="16"/>
      <color indexed="12"/>
      <name val="Comic Sans MS"/>
      <family val="4"/>
    </font>
    <font>
      <b/>
      <sz val="12"/>
      <name val="Comic Sans MS"/>
      <family val="4"/>
    </font>
    <font>
      <b/>
      <sz val="16"/>
      <name val="Comic Sans MS"/>
      <family val="4"/>
    </font>
    <font>
      <u/>
      <sz val="10"/>
      <name val="Arial"/>
      <family val="2"/>
    </font>
    <font>
      <b/>
      <u/>
      <sz val="8"/>
      <color indexed="12"/>
      <name val="Arial"/>
      <family val="2"/>
    </font>
    <font>
      <b/>
      <sz val="10"/>
      <name val="Comic Sans MS"/>
      <family val="4"/>
    </font>
    <font>
      <b/>
      <i/>
      <sz val="10"/>
      <color indexed="57"/>
      <name val="Arial"/>
      <family val="2"/>
    </font>
    <font>
      <sz val="10"/>
      <name val="Comic Sans MS"/>
      <family val="4"/>
    </font>
    <font>
      <b/>
      <sz val="8"/>
      <name val="Comic Sans MS"/>
      <family val="4"/>
    </font>
    <font>
      <b/>
      <sz val="12"/>
      <color indexed="12"/>
      <name val="Comic Sans MS"/>
      <family val="4"/>
    </font>
    <font>
      <u/>
      <sz val="9"/>
      <name val="Arial"/>
      <family val="2"/>
    </font>
    <font>
      <sz val="14"/>
      <color indexed="12"/>
      <name val="Arial"/>
      <family val="2"/>
    </font>
    <font>
      <b/>
      <i/>
      <sz val="12"/>
      <name val="Arial"/>
      <family val="2"/>
    </font>
    <font>
      <i/>
      <sz val="10"/>
      <name val="Arial"/>
      <family val="2"/>
    </font>
    <font>
      <u/>
      <sz val="10"/>
      <color indexed="10"/>
      <name val="Arial"/>
      <family val="2"/>
    </font>
    <font>
      <b/>
      <u/>
      <sz val="14"/>
      <name val="Arial"/>
      <family val="2"/>
    </font>
    <font>
      <b/>
      <u/>
      <sz val="14"/>
      <color indexed="12"/>
      <name val="Arial"/>
      <family val="2"/>
    </font>
    <font>
      <b/>
      <u/>
      <sz val="10"/>
      <color indexed="8"/>
      <name val="Arial"/>
      <family val="2"/>
    </font>
    <font>
      <sz val="10"/>
      <color indexed="8"/>
      <name val="Arial"/>
      <family val="2"/>
    </font>
    <font>
      <vertAlign val="subscript"/>
      <sz val="10"/>
      <name val="Arial"/>
      <family val="2"/>
    </font>
    <font>
      <sz val="10"/>
      <name val="Arial Narrow"/>
      <family val="2"/>
    </font>
    <font>
      <vertAlign val="superscript"/>
      <sz val="10"/>
      <name val="Arial Narrow"/>
      <family val="2"/>
    </font>
    <font>
      <vertAlign val="superscript"/>
      <sz val="10"/>
      <name val="Arial"/>
      <family val="2"/>
    </font>
    <font>
      <b/>
      <vertAlign val="superscript"/>
      <sz val="10"/>
      <name val="Arial"/>
      <family val="2"/>
    </font>
    <font>
      <vertAlign val="superscript"/>
      <sz val="12"/>
      <name val="Arial"/>
      <family val="2"/>
    </font>
    <font>
      <vertAlign val="superscript"/>
      <sz val="8"/>
      <name val="Arial"/>
      <family val="2"/>
    </font>
    <font>
      <b/>
      <sz val="10"/>
      <color indexed="10"/>
      <name val="Arial"/>
      <family val="2"/>
    </font>
    <font>
      <b/>
      <sz val="24"/>
      <name val="Arial"/>
      <family val="2"/>
    </font>
    <font>
      <b/>
      <sz val="14"/>
      <color indexed="10"/>
      <name val="Arial"/>
      <family val="2"/>
    </font>
    <font>
      <sz val="9"/>
      <color rgb="FFFF0000"/>
      <name val="Arial"/>
      <family val="2"/>
    </font>
    <font>
      <sz val="8"/>
      <color theme="1" tint="0.499984740745262"/>
      <name val="Arial"/>
      <family val="2"/>
    </font>
    <font>
      <sz val="9"/>
      <color theme="1" tint="0.499984740745262"/>
      <name val="Arial"/>
      <family val="2"/>
    </font>
    <font>
      <sz val="7"/>
      <color theme="1" tint="0.499984740745262"/>
      <name val="Arial"/>
      <family val="2"/>
    </font>
    <font>
      <sz val="8"/>
      <color rgb="FFFF0000"/>
      <name val="Arial"/>
      <family val="2"/>
    </font>
    <font>
      <b/>
      <sz val="10"/>
      <color rgb="FF0070C0"/>
      <name val="Arial"/>
      <family val="2"/>
    </font>
    <font>
      <b/>
      <sz val="10"/>
      <color rgb="FFFF0000"/>
      <name val="Arial"/>
      <family val="2"/>
    </font>
    <font>
      <b/>
      <sz val="10"/>
      <color rgb="FF0000FF"/>
      <name val="Symbol"/>
      <family val="1"/>
      <charset val="2"/>
    </font>
    <font>
      <b/>
      <sz val="10"/>
      <color rgb="FF0000FF"/>
      <name val="Arial"/>
      <family val="2"/>
    </font>
    <font>
      <b/>
      <sz val="10"/>
      <color rgb="FF00FF00"/>
      <name val="Arial"/>
      <family val="2"/>
    </font>
    <font>
      <b/>
      <sz val="11"/>
      <color theme="0"/>
      <name val="Arial"/>
      <family val="2"/>
    </font>
    <font>
      <sz val="11"/>
      <color theme="0"/>
      <name val="Arial"/>
      <family val="2"/>
    </font>
    <font>
      <sz val="9"/>
      <color rgb="FF00B050"/>
      <name val="Arial"/>
      <family val="2"/>
    </font>
    <font>
      <sz val="8"/>
      <color rgb="FF00B050"/>
      <name val="Arial"/>
      <family val="2"/>
    </font>
    <font>
      <b/>
      <sz val="9"/>
      <color theme="1" tint="0.34998626667073579"/>
      <name val="Arial"/>
      <family val="2"/>
    </font>
    <font>
      <sz val="9"/>
      <color theme="1" tint="0.34998626667073579"/>
      <name val="Arial"/>
      <family val="2"/>
    </font>
    <font>
      <sz val="9"/>
      <color theme="0"/>
      <name val="Arial"/>
      <family val="2"/>
    </font>
    <font>
      <sz val="10"/>
      <color rgb="FF0000FF"/>
      <name val="Arial"/>
      <family val="2"/>
    </font>
    <font>
      <sz val="7"/>
      <color theme="1" tint="0.499984740745262"/>
      <name val="Arial Narrow"/>
      <family val="2"/>
    </font>
    <font>
      <b/>
      <sz val="10"/>
      <color theme="0"/>
      <name val="Arial"/>
      <family val="2"/>
    </font>
    <font>
      <sz val="6"/>
      <color theme="0"/>
      <name val="Arial"/>
      <family val="2"/>
    </font>
    <font>
      <b/>
      <sz val="14"/>
      <color theme="0"/>
      <name val="Arial"/>
      <family val="2"/>
    </font>
    <font>
      <b/>
      <sz val="12"/>
      <color theme="0"/>
      <name val="Arial"/>
      <family val="2"/>
    </font>
    <font>
      <sz val="8"/>
      <color theme="0"/>
      <name val="Arial"/>
      <family val="2"/>
    </font>
    <font>
      <sz val="10"/>
      <color theme="0"/>
      <name val="Arial"/>
      <family val="2"/>
    </font>
    <font>
      <sz val="8"/>
      <color rgb="FFFF00FF"/>
      <name val="Arial"/>
      <family val="2"/>
    </font>
    <font>
      <sz val="8"/>
      <color rgb="FF0000FF"/>
      <name val="Arial"/>
      <family val="2"/>
    </font>
    <font>
      <b/>
      <sz val="10"/>
      <color rgb="FF0066FF"/>
      <name val="Arial"/>
      <family val="2"/>
    </font>
    <font>
      <sz val="10"/>
      <color rgb="FFFF0000"/>
      <name val="Arial"/>
      <family val="2"/>
    </font>
    <font>
      <sz val="6"/>
      <color theme="1" tint="0.34998626667073579"/>
      <name val="Arial"/>
      <family val="2"/>
    </font>
    <font>
      <b/>
      <sz val="10"/>
      <color rgb="FFFF00FF"/>
      <name val="Arial"/>
      <family val="2"/>
    </font>
    <font>
      <u/>
      <sz val="10"/>
      <color theme="0" tint="-0.34998626667073579"/>
      <name val="Arial"/>
      <family val="2"/>
    </font>
    <font>
      <sz val="7"/>
      <color theme="0"/>
      <name val="Arial"/>
      <family val="2"/>
    </font>
    <font>
      <sz val="10"/>
      <color rgb="FFC00000"/>
      <name val="Arial"/>
      <family val="2"/>
    </font>
    <font>
      <b/>
      <sz val="7"/>
      <color rgb="FF0000FF"/>
      <name val="Arial"/>
      <family val="2"/>
    </font>
    <font>
      <b/>
      <sz val="8"/>
      <color rgb="FFFF0000"/>
      <name val="Arial"/>
      <family val="2"/>
    </font>
    <font>
      <b/>
      <sz val="9"/>
      <color rgb="FFFF0000"/>
      <name val="Arial"/>
      <family val="2"/>
    </font>
    <font>
      <u/>
      <sz val="10"/>
      <color rgb="FFFF0000"/>
      <name val="Arial"/>
      <family val="2"/>
    </font>
    <font>
      <i/>
      <sz val="9"/>
      <color rgb="FFFF0000"/>
      <name val="Arial"/>
      <family val="2"/>
    </font>
    <font>
      <b/>
      <u/>
      <sz val="10"/>
      <color rgb="FFFF0000"/>
      <name val="Arial"/>
      <family val="2"/>
    </font>
    <font>
      <b/>
      <sz val="14"/>
      <color rgb="FF0033CC"/>
      <name val="Arial"/>
      <family val="2"/>
    </font>
    <font>
      <b/>
      <u/>
      <sz val="11"/>
      <color theme="1"/>
      <name val="Arial"/>
      <family val="2"/>
    </font>
    <font>
      <b/>
      <sz val="11"/>
      <color theme="1"/>
      <name val="Arial"/>
      <family val="2"/>
    </font>
    <font>
      <sz val="11"/>
      <color rgb="FFFF0000"/>
      <name val="Arial"/>
      <family val="2"/>
    </font>
    <font>
      <b/>
      <u/>
      <sz val="11"/>
      <color rgb="FF006600"/>
      <name val="Arial"/>
      <family val="2"/>
    </font>
    <font>
      <b/>
      <u/>
      <sz val="11"/>
      <color rgb="FFFF0000"/>
      <name val="Arial"/>
      <family val="2"/>
    </font>
    <font>
      <b/>
      <sz val="11"/>
      <color rgb="FFFF0000"/>
      <name val="Arial"/>
      <family val="2"/>
    </font>
    <font>
      <sz val="11"/>
      <color rgb="FF0000FF"/>
      <name val="Arial"/>
      <family val="2"/>
    </font>
    <font>
      <b/>
      <sz val="12"/>
      <color rgb="FFFF0000"/>
      <name val="Arial"/>
      <family val="2"/>
    </font>
    <font>
      <sz val="7"/>
      <color rgb="FFFF0000"/>
      <name val="Arial"/>
      <family val="2"/>
    </font>
    <font>
      <b/>
      <sz val="9"/>
      <color rgb="FFFF0000"/>
      <name val="Arial Narrow"/>
      <family val="2"/>
    </font>
    <font>
      <sz val="20"/>
      <color rgb="FFFF0000"/>
      <name val="Arial"/>
      <family val="2"/>
    </font>
    <font>
      <b/>
      <sz val="9"/>
      <color theme="0"/>
      <name val="Arial"/>
      <family val="2"/>
    </font>
    <font>
      <b/>
      <sz val="9"/>
      <color indexed="81"/>
      <name val="Segoe UI"/>
      <family val="2"/>
    </font>
    <font>
      <i/>
      <sz val="8"/>
      <color rgb="FFFF0000"/>
      <name val="Arial"/>
      <family val="2"/>
    </font>
    <font>
      <b/>
      <sz val="14"/>
      <color rgb="FFFF0000"/>
      <name val="Arial"/>
      <family val="2"/>
    </font>
    <font>
      <sz val="14"/>
      <color rgb="FFFF0000"/>
      <name val="Arial"/>
      <family val="2"/>
    </font>
  </fonts>
  <fills count="60">
    <fill>
      <patternFill patternType="none"/>
    </fill>
    <fill>
      <patternFill patternType="gray125"/>
    </fill>
    <fill>
      <patternFill patternType="solid">
        <fgColor indexed="52"/>
        <bgColor indexed="64"/>
      </patternFill>
    </fill>
    <fill>
      <patternFill patternType="solid">
        <fgColor indexed="9"/>
        <bgColor indexed="64"/>
      </patternFill>
    </fill>
    <fill>
      <patternFill patternType="solid">
        <fgColor indexed="22"/>
        <bgColor indexed="64"/>
      </patternFill>
    </fill>
    <fill>
      <patternFill patternType="solid">
        <fgColor indexed="48"/>
        <bgColor indexed="64"/>
      </patternFill>
    </fill>
    <fill>
      <patternFill patternType="solid">
        <fgColor indexed="40"/>
        <bgColor indexed="64"/>
      </patternFill>
    </fill>
    <fill>
      <patternFill patternType="solid">
        <fgColor indexed="55"/>
        <bgColor indexed="64"/>
      </patternFill>
    </fill>
    <fill>
      <patternFill patternType="solid">
        <fgColor indexed="42"/>
        <bgColor indexed="64"/>
      </patternFill>
    </fill>
    <fill>
      <patternFill patternType="solid">
        <fgColor indexed="43"/>
        <bgColor indexed="64"/>
      </patternFill>
    </fill>
    <fill>
      <patternFill patternType="solid">
        <fgColor indexed="14"/>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3"/>
        <bgColor indexed="64"/>
      </patternFill>
    </fill>
    <fill>
      <patternFill patternType="solid">
        <fgColor indexed="47"/>
        <bgColor indexed="64"/>
      </patternFill>
    </fill>
    <fill>
      <patternFill patternType="solid">
        <fgColor indexed="51"/>
        <bgColor indexed="64"/>
      </patternFill>
    </fill>
    <fill>
      <patternFill patternType="solid">
        <fgColor indexed="15"/>
        <bgColor indexed="64"/>
      </patternFill>
    </fill>
    <fill>
      <patternFill patternType="solid">
        <fgColor indexed="49"/>
        <bgColor indexed="64"/>
      </patternFill>
    </fill>
    <fill>
      <patternFill patternType="solid">
        <fgColor theme="0"/>
        <bgColor indexed="64"/>
      </patternFill>
    </fill>
    <fill>
      <patternFill patternType="solid">
        <fgColor rgb="FF99FF33"/>
        <bgColor indexed="64"/>
      </patternFill>
    </fill>
    <fill>
      <patternFill patternType="solid">
        <fgColor rgb="FFFFFF99"/>
        <bgColor indexed="64"/>
      </patternFill>
    </fill>
    <fill>
      <patternFill patternType="solid">
        <fgColor rgb="FFCCFFFF"/>
        <bgColor indexed="64"/>
      </patternFill>
    </fill>
    <fill>
      <patternFill patternType="solid">
        <fgColor rgb="FF0000FF"/>
        <bgColor indexed="64"/>
      </patternFill>
    </fill>
    <fill>
      <patternFill patternType="solid">
        <fgColor rgb="FF00FFFF"/>
        <bgColor indexed="9"/>
      </patternFill>
    </fill>
    <fill>
      <patternFill patternType="solid">
        <fgColor theme="0" tint="-4.9989318521683403E-2"/>
        <bgColor indexed="64"/>
      </patternFill>
    </fill>
    <fill>
      <patternFill patternType="solid">
        <fgColor theme="0" tint="-0.249977111117893"/>
        <bgColor indexed="64"/>
      </patternFill>
    </fill>
    <fill>
      <patternFill patternType="solid">
        <fgColor rgb="FF99FFCC"/>
        <bgColor indexed="64"/>
      </patternFill>
    </fill>
    <fill>
      <patternFill patternType="solid">
        <fgColor rgb="FF66CCFF"/>
        <bgColor indexed="64"/>
      </patternFill>
    </fill>
    <fill>
      <patternFill patternType="solid">
        <fgColor rgb="FFD9FFD9"/>
        <bgColor indexed="64"/>
      </patternFill>
    </fill>
    <fill>
      <patternFill patternType="solid">
        <fgColor rgb="FFFFFF00"/>
        <bgColor indexed="64"/>
      </patternFill>
    </fill>
    <fill>
      <patternFill patternType="solid">
        <fgColor rgb="FF00FF00"/>
        <bgColor indexed="64"/>
      </patternFill>
    </fill>
    <fill>
      <patternFill patternType="solid">
        <fgColor rgb="FF009900"/>
        <bgColor indexed="64"/>
      </patternFill>
    </fill>
    <fill>
      <patternFill patternType="solid">
        <fgColor rgb="FF99FF66"/>
        <bgColor indexed="64"/>
      </patternFill>
    </fill>
    <fill>
      <patternFill patternType="solid">
        <fgColor rgb="FFFFFF66"/>
        <bgColor indexed="64"/>
      </patternFill>
    </fill>
    <fill>
      <patternFill patternType="solid">
        <fgColor theme="0"/>
        <bgColor indexed="9"/>
      </patternFill>
    </fill>
    <fill>
      <patternFill patternType="solid">
        <fgColor rgb="FF0000FF"/>
        <bgColor indexed="9"/>
      </patternFill>
    </fill>
    <fill>
      <patternFill patternType="solid">
        <fgColor theme="0" tint="-0.14999847407452621"/>
        <bgColor indexed="64"/>
      </patternFill>
    </fill>
    <fill>
      <patternFill patternType="solid">
        <fgColor rgb="FFCCFFFF"/>
        <bgColor indexed="9"/>
      </patternFill>
    </fill>
    <fill>
      <patternFill patternType="solid">
        <fgColor theme="0" tint="-0.34998626667073579"/>
        <bgColor indexed="64"/>
      </patternFill>
    </fill>
    <fill>
      <patternFill patternType="solid">
        <fgColor rgb="FF99FF66"/>
        <bgColor indexed="9"/>
      </patternFill>
    </fill>
    <fill>
      <patternFill patternType="solid">
        <fgColor rgb="FF00B050"/>
        <bgColor indexed="64"/>
      </patternFill>
    </fill>
    <fill>
      <patternFill patternType="solid">
        <fgColor rgb="FF99FF99"/>
        <bgColor indexed="64"/>
      </patternFill>
    </fill>
    <fill>
      <patternFill patternType="solid">
        <fgColor rgb="FF92D050"/>
        <bgColor indexed="64"/>
      </patternFill>
    </fill>
    <fill>
      <patternFill patternType="solid">
        <fgColor rgb="FFFF66FF"/>
        <bgColor indexed="64"/>
      </patternFill>
    </fill>
    <fill>
      <patternFill patternType="solid">
        <fgColor theme="0" tint="-0.24994659260841701"/>
        <bgColor indexed="64"/>
      </patternFill>
    </fill>
    <fill>
      <patternFill patternType="solid">
        <fgColor rgb="FFFFCCFF"/>
        <bgColor indexed="64"/>
      </patternFill>
    </fill>
    <fill>
      <patternFill patternType="solid">
        <fgColor rgb="FFFFFFCC"/>
        <bgColor indexed="64"/>
      </patternFill>
    </fill>
    <fill>
      <patternFill patternType="solid">
        <fgColor rgb="FFCCFF66"/>
        <bgColor indexed="64"/>
      </patternFill>
    </fill>
    <fill>
      <patternFill patternType="solid">
        <fgColor theme="3" tint="-0.249977111117893"/>
        <bgColor indexed="64"/>
      </patternFill>
    </fill>
    <fill>
      <patternFill patternType="solid">
        <fgColor rgb="FFFF9900"/>
        <bgColor indexed="64"/>
      </patternFill>
    </fill>
    <fill>
      <patternFill patternType="solid">
        <fgColor theme="3" tint="0.79998168889431442"/>
        <bgColor indexed="64"/>
      </patternFill>
    </fill>
    <fill>
      <patternFill patternType="solid">
        <fgColor rgb="FFFF99FF"/>
        <bgColor indexed="64"/>
      </patternFill>
    </fill>
    <fill>
      <patternFill patternType="solid">
        <fgColor rgb="FFFFCCCC"/>
        <bgColor indexed="64"/>
      </patternFill>
    </fill>
    <fill>
      <patternFill patternType="solid">
        <fgColor theme="4" tint="0.79998168889431442"/>
        <bgColor indexed="64"/>
      </patternFill>
    </fill>
    <fill>
      <patternFill patternType="solid">
        <fgColor rgb="FF00FFFF"/>
        <bgColor indexed="64"/>
      </patternFill>
    </fill>
    <fill>
      <patternFill patternType="solid">
        <fgColor rgb="FFD9FFD9"/>
        <bgColor indexed="9"/>
      </patternFill>
    </fill>
    <fill>
      <patternFill patternType="solid">
        <fgColor rgb="FFFFC000"/>
        <bgColor indexed="64"/>
      </patternFill>
    </fill>
    <fill>
      <patternFill patternType="solid">
        <fgColor rgb="FFFF3300"/>
        <bgColor indexed="64"/>
      </patternFill>
    </fill>
    <fill>
      <patternFill patternType="solid">
        <fgColor rgb="FFFF9F9F"/>
        <bgColor indexed="64"/>
      </patternFill>
    </fill>
  </fills>
  <borders count="306">
    <border>
      <left/>
      <right/>
      <top/>
      <bottom/>
      <diagonal/>
    </border>
    <border>
      <left style="thick">
        <color indexed="40"/>
      </left>
      <right/>
      <top style="thick">
        <color indexed="40"/>
      </top>
      <bottom/>
      <diagonal/>
    </border>
    <border>
      <left/>
      <right/>
      <top style="thick">
        <color indexed="40"/>
      </top>
      <bottom/>
      <diagonal/>
    </border>
    <border>
      <left style="thin">
        <color indexed="55"/>
      </left>
      <right/>
      <top style="thin">
        <color indexed="55"/>
      </top>
      <bottom style="thin">
        <color indexed="55"/>
      </bottom>
      <diagonal/>
    </border>
    <border>
      <left style="thick">
        <color indexed="40"/>
      </left>
      <right/>
      <top/>
      <bottom/>
      <diagonal/>
    </border>
    <border>
      <left/>
      <right/>
      <top style="thin">
        <color indexed="55"/>
      </top>
      <bottom style="thin">
        <color indexed="55"/>
      </bottom>
      <diagonal/>
    </border>
    <border>
      <left style="thin">
        <color indexed="64"/>
      </left>
      <right style="hair">
        <color indexed="55"/>
      </right>
      <top style="thin">
        <color indexed="64"/>
      </top>
      <bottom style="thin">
        <color indexed="64"/>
      </bottom>
      <diagonal/>
    </border>
    <border>
      <left style="hair">
        <color indexed="55"/>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hair">
        <color indexed="55"/>
      </left>
      <right style="thin">
        <color indexed="64"/>
      </right>
      <top style="thin">
        <color indexed="55"/>
      </top>
      <bottom style="thin">
        <color indexed="55"/>
      </bottom>
      <diagonal/>
    </border>
    <border>
      <left style="thin">
        <color indexed="64"/>
      </left>
      <right/>
      <top style="thin">
        <color indexed="64"/>
      </top>
      <bottom style="thin">
        <color indexed="64"/>
      </bottom>
      <diagonal/>
    </border>
    <border>
      <left style="thin">
        <color indexed="55"/>
      </left>
      <right/>
      <top/>
      <bottom style="thin">
        <color indexed="55"/>
      </bottom>
      <diagonal/>
    </border>
    <border>
      <left/>
      <right/>
      <top/>
      <bottom style="thin">
        <color indexed="55"/>
      </bottom>
      <diagonal/>
    </border>
    <border>
      <left style="hair">
        <color indexed="55"/>
      </left>
      <right style="thin">
        <color indexed="64"/>
      </right>
      <top/>
      <bottom style="thin">
        <color indexed="55"/>
      </bottom>
      <diagonal/>
    </border>
    <border>
      <left style="thin">
        <color indexed="64"/>
      </left>
      <right style="hair">
        <color indexed="55"/>
      </right>
      <top/>
      <bottom style="thin">
        <color indexed="64"/>
      </bottom>
      <diagonal/>
    </border>
    <border>
      <left style="hair">
        <color indexed="55"/>
      </left>
      <right style="thin">
        <color indexed="64"/>
      </right>
      <top/>
      <bottom style="thin">
        <color indexed="64"/>
      </bottom>
      <diagonal/>
    </border>
    <border>
      <left style="thin">
        <color indexed="64"/>
      </left>
      <right/>
      <top/>
      <bottom style="thin">
        <color indexed="64"/>
      </bottom>
      <diagonal/>
    </border>
    <border>
      <left style="thin">
        <color indexed="55"/>
      </left>
      <right/>
      <top style="thin">
        <color indexed="55"/>
      </top>
      <bottom style="thick">
        <color indexed="12"/>
      </bottom>
      <diagonal/>
    </border>
    <border>
      <left/>
      <right/>
      <top style="thin">
        <color indexed="55"/>
      </top>
      <bottom style="thick">
        <color indexed="12"/>
      </bottom>
      <diagonal/>
    </border>
    <border>
      <left style="hair">
        <color indexed="55"/>
      </left>
      <right style="thin">
        <color indexed="64"/>
      </right>
      <top style="thin">
        <color indexed="55"/>
      </top>
      <bottom style="thick">
        <color indexed="12"/>
      </bottom>
      <diagonal/>
    </border>
    <border>
      <left style="thin">
        <color indexed="64"/>
      </left>
      <right style="hair">
        <color indexed="55"/>
      </right>
      <top style="thin">
        <color indexed="64"/>
      </top>
      <bottom style="thick">
        <color indexed="12"/>
      </bottom>
      <diagonal/>
    </border>
    <border>
      <left style="hair">
        <color indexed="55"/>
      </left>
      <right style="thin">
        <color indexed="64"/>
      </right>
      <top style="thin">
        <color indexed="64"/>
      </top>
      <bottom style="thick">
        <color indexed="12"/>
      </bottom>
      <diagonal/>
    </border>
    <border>
      <left style="thin">
        <color indexed="64"/>
      </left>
      <right/>
      <top style="thin">
        <color indexed="64"/>
      </top>
      <bottom style="thick">
        <color indexed="12"/>
      </bottom>
      <diagonal/>
    </border>
    <border>
      <left/>
      <right style="thin">
        <color indexed="64"/>
      </right>
      <top style="thin">
        <color indexed="64"/>
      </top>
      <bottom style="thick">
        <color indexed="12"/>
      </bottom>
      <diagonal/>
    </border>
    <border>
      <left style="thick">
        <color indexed="40"/>
      </left>
      <right/>
      <top/>
      <bottom style="thick">
        <color indexed="12"/>
      </bottom>
      <diagonal/>
    </border>
    <border>
      <left/>
      <right/>
      <top/>
      <bottom style="thick">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ck">
        <color indexed="12"/>
      </bottom>
      <diagonal/>
    </border>
    <border>
      <left/>
      <right style="thin">
        <color indexed="64"/>
      </right>
      <top/>
      <bottom style="thick">
        <color indexed="12"/>
      </bottom>
      <diagonal/>
    </border>
    <border>
      <left style="thin">
        <color indexed="64"/>
      </left>
      <right/>
      <top style="thick">
        <color indexed="12"/>
      </top>
      <bottom/>
      <diagonal/>
    </border>
    <border>
      <left/>
      <right style="thin">
        <color indexed="64"/>
      </right>
      <top style="thick">
        <color indexed="12"/>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thin">
        <color indexed="64"/>
      </top>
      <bottom style="dotted">
        <color indexed="64"/>
      </bottom>
      <diagonal/>
    </border>
    <border>
      <left/>
      <right/>
      <top style="thin">
        <color indexed="64"/>
      </top>
      <bottom style="thin">
        <color indexed="64"/>
      </bottom>
      <diagonal/>
    </border>
    <border>
      <left/>
      <right/>
      <top style="dashed">
        <color indexed="64"/>
      </top>
      <bottom style="dashed">
        <color indexed="64"/>
      </bottom>
      <diagonal/>
    </border>
    <border>
      <left style="thin">
        <color indexed="64"/>
      </left>
      <right style="thin">
        <color indexed="64"/>
      </right>
      <top/>
      <bottom/>
      <diagonal/>
    </border>
    <border>
      <left style="thin">
        <color indexed="64"/>
      </left>
      <right style="thin">
        <color indexed="64"/>
      </right>
      <top style="dashed">
        <color indexed="64"/>
      </top>
      <bottom style="dashed">
        <color indexed="64"/>
      </bottom>
      <diagonal/>
    </border>
    <border>
      <left/>
      <right/>
      <top style="thin">
        <color indexed="55"/>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thin">
        <color indexed="55"/>
      </left>
      <right/>
      <top style="thin">
        <color indexed="55"/>
      </top>
      <bottom/>
      <diagonal/>
    </border>
    <border>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hair">
        <color indexed="55"/>
      </left>
      <right style="thin">
        <color indexed="64"/>
      </right>
      <top style="thin">
        <color indexed="55"/>
      </top>
      <bottom/>
      <diagonal/>
    </border>
    <border>
      <left style="thin">
        <color indexed="64"/>
      </left>
      <right style="hair">
        <color indexed="55"/>
      </right>
      <top style="thin">
        <color indexed="64"/>
      </top>
      <bottom/>
      <diagonal/>
    </border>
    <border>
      <left style="hair">
        <color indexed="55"/>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indexed="22"/>
      </right>
      <top/>
      <bottom style="thick">
        <color indexed="22"/>
      </bottom>
      <diagonal/>
    </border>
    <border>
      <left style="thick">
        <color indexed="22"/>
      </left>
      <right style="thick">
        <color indexed="22"/>
      </right>
      <top/>
      <bottom style="thick">
        <color indexed="22"/>
      </bottom>
      <diagonal/>
    </border>
    <border>
      <left/>
      <right style="dotted">
        <color indexed="64"/>
      </right>
      <top style="dotted">
        <color indexed="64"/>
      </top>
      <bottom/>
      <diagonal/>
    </border>
    <border>
      <left style="dotted">
        <color indexed="64"/>
      </left>
      <right style="medium">
        <color indexed="64"/>
      </right>
      <top style="dotted">
        <color indexed="64"/>
      </top>
      <bottom/>
      <diagonal/>
    </border>
    <border>
      <left style="medium">
        <color indexed="64"/>
      </left>
      <right style="hair">
        <color indexed="64"/>
      </right>
      <top/>
      <bottom/>
      <diagonal/>
    </border>
    <border>
      <left/>
      <right style="thick">
        <color indexed="51"/>
      </right>
      <top/>
      <bottom/>
      <diagonal/>
    </border>
    <border>
      <left/>
      <right style="thick">
        <color indexed="52"/>
      </right>
      <top/>
      <bottom/>
      <diagonal/>
    </border>
    <border>
      <left/>
      <right style="thick">
        <color indexed="53"/>
      </right>
      <top style="medium">
        <color indexed="64"/>
      </top>
      <bottom/>
      <diagonal/>
    </border>
    <border>
      <left/>
      <right style="thick">
        <color indexed="22"/>
      </right>
      <top style="thick">
        <color indexed="22"/>
      </top>
      <bottom style="thick">
        <color indexed="22"/>
      </bottom>
      <diagonal/>
    </border>
    <border>
      <left style="thick">
        <color indexed="22"/>
      </left>
      <right/>
      <top/>
      <bottom style="thick">
        <color indexed="22"/>
      </bottom>
      <diagonal/>
    </border>
    <border>
      <left/>
      <right style="dotted">
        <color indexed="64"/>
      </right>
      <top/>
      <bottom/>
      <diagonal/>
    </border>
    <border>
      <left style="dotted">
        <color indexed="64"/>
      </left>
      <right style="medium">
        <color indexed="64"/>
      </right>
      <top/>
      <bottom/>
      <diagonal/>
    </border>
    <border>
      <left style="medium">
        <color indexed="64"/>
      </left>
      <right style="hair">
        <color indexed="64"/>
      </right>
      <top/>
      <bottom style="thin">
        <color indexed="64"/>
      </bottom>
      <diagonal/>
    </border>
    <border>
      <left style="medium">
        <color indexed="64"/>
      </left>
      <right style="medium">
        <color indexed="64"/>
      </right>
      <top/>
      <bottom style="medium">
        <color indexed="64"/>
      </bottom>
      <diagonal/>
    </border>
    <border>
      <left/>
      <right style="thick">
        <color indexed="52"/>
      </right>
      <top/>
      <bottom style="thick">
        <color indexed="52"/>
      </bottom>
      <diagonal/>
    </border>
    <border>
      <left/>
      <right style="thick">
        <color indexed="53"/>
      </right>
      <top/>
      <bottom style="thick">
        <color indexed="53"/>
      </bottom>
      <diagonal/>
    </border>
    <border>
      <left style="thick">
        <color indexed="22"/>
      </left>
      <right style="thick">
        <color indexed="22"/>
      </right>
      <top style="thick">
        <color indexed="22"/>
      </top>
      <bottom style="thick">
        <color indexed="22"/>
      </bottom>
      <diagonal/>
    </border>
    <border>
      <left style="thick">
        <color indexed="22"/>
      </left>
      <right/>
      <top style="thick">
        <color indexed="22"/>
      </top>
      <bottom style="thick">
        <color indexed="22"/>
      </bottom>
      <diagonal/>
    </border>
    <border>
      <left style="medium">
        <color indexed="64"/>
      </left>
      <right style="hair">
        <color indexed="64"/>
      </right>
      <top style="thin">
        <color indexed="64"/>
      </top>
      <bottom style="thin">
        <color indexed="64"/>
      </bottom>
      <diagonal/>
    </border>
    <border>
      <left style="thick">
        <color indexed="43"/>
      </left>
      <right style="thick">
        <color indexed="43"/>
      </right>
      <top style="thick">
        <color indexed="43"/>
      </top>
      <bottom style="thick">
        <color indexed="43"/>
      </bottom>
      <diagonal/>
    </border>
    <border>
      <left style="thick">
        <color indexed="13"/>
      </left>
      <right style="thick">
        <color indexed="13"/>
      </right>
      <top style="thick">
        <color indexed="13"/>
      </top>
      <bottom style="thick">
        <color indexed="13"/>
      </bottom>
      <diagonal/>
    </border>
    <border>
      <left style="thick">
        <color indexed="47"/>
      </left>
      <right style="thick">
        <color indexed="47"/>
      </right>
      <top style="thick">
        <color indexed="47"/>
      </top>
      <bottom style="thick">
        <color indexed="47"/>
      </bottom>
      <diagonal/>
    </border>
    <border>
      <left style="thick">
        <color indexed="51"/>
      </left>
      <right style="thick">
        <color indexed="51"/>
      </right>
      <top style="thick">
        <color indexed="51"/>
      </top>
      <bottom style="thick">
        <color indexed="51"/>
      </bottom>
      <diagonal/>
    </border>
    <border>
      <left style="thick">
        <color indexed="52"/>
      </left>
      <right style="thick">
        <color indexed="52"/>
      </right>
      <top style="thick">
        <color indexed="52"/>
      </top>
      <bottom style="thick">
        <color indexed="52"/>
      </bottom>
      <diagonal/>
    </border>
    <border>
      <left style="thick">
        <color indexed="53"/>
      </left>
      <right style="thick">
        <color indexed="53"/>
      </right>
      <top style="thick">
        <color indexed="53"/>
      </top>
      <bottom style="thick">
        <color indexed="53"/>
      </bottom>
      <diagonal/>
    </border>
    <border>
      <left style="thin">
        <color indexed="64"/>
      </left>
      <right style="thick">
        <color indexed="22"/>
      </right>
      <top style="thick">
        <color indexed="22"/>
      </top>
      <bottom style="thick">
        <color indexed="22"/>
      </bottom>
      <diagonal/>
    </border>
    <border>
      <left style="thick">
        <color indexed="22"/>
      </left>
      <right style="thin">
        <color indexed="64"/>
      </right>
      <top style="thick">
        <color indexed="22"/>
      </top>
      <bottom style="thick">
        <color indexed="22"/>
      </bottom>
      <diagonal/>
    </border>
    <border>
      <left style="thick">
        <color indexed="43"/>
      </left>
      <right style="thick">
        <color indexed="43"/>
      </right>
      <top style="thick">
        <color indexed="43"/>
      </top>
      <bottom/>
      <diagonal/>
    </border>
    <border>
      <left style="thick">
        <color indexed="47"/>
      </left>
      <right style="thick">
        <color indexed="47"/>
      </right>
      <top style="thick">
        <color indexed="47"/>
      </top>
      <bottom/>
      <diagonal/>
    </border>
    <border>
      <left style="thick">
        <color indexed="51"/>
      </left>
      <right style="thick">
        <color indexed="51"/>
      </right>
      <top style="thick">
        <color indexed="51"/>
      </top>
      <bottom/>
      <diagonal/>
    </border>
    <border>
      <left style="thick">
        <color indexed="52"/>
      </left>
      <right style="thick">
        <color indexed="52"/>
      </right>
      <top style="thick">
        <color indexed="52"/>
      </top>
      <bottom/>
      <diagonal/>
    </border>
    <border>
      <left style="thick">
        <color indexed="53"/>
      </left>
      <right style="thick">
        <color indexed="53"/>
      </right>
      <top style="thick">
        <color indexed="53"/>
      </top>
      <bottom/>
      <diagonal/>
    </border>
    <border>
      <left style="thin">
        <color indexed="64"/>
      </left>
      <right style="thin">
        <color indexed="64"/>
      </right>
      <top/>
      <bottom style="thin">
        <color indexed="64"/>
      </bottom>
      <diagonal/>
    </border>
    <border>
      <left style="thick">
        <color indexed="43"/>
      </left>
      <right style="thick">
        <color indexed="43"/>
      </right>
      <top/>
      <bottom style="thick">
        <color indexed="43"/>
      </bottom>
      <diagonal/>
    </border>
    <border>
      <left style="thick">
        <color indexed="43"/>
      </left>
      <right style="thick">
        <color indexed="43"/>
      </right>
      <top/>
      <bottom/>
      <diagonal/>
    </border>
    <border>
      <left style="thick">
        <color indexed="51"/>
      </left>
      <right style="thick">
        <color indexed="51"/>
      </right>
      <top/>
      <bottom/>
      <diagonal/>
    </border>
    <border>
      <left style="thick">
        <color indexed="52"/>
      </left>
      <right style="thick">
        <color indexed="52"/>
      </right>
      <top/>
      <bottom/>
      <diagonal/>
    </border>
    <border>
      <left style="medium">
        <color indexed="64"/>
      </left>
      <right style="thick">
        <color indexed="22"/>
      </right>
      <top style="medium">
        <color indexed="64"/>
      </top>
      <bottom style="medium">
        <color indexed="64"/>
      </bottom>
      <diagonal/>
    </border>
    <border>
      <left style="medium">
        <color indexed="64"/>
      </left>
      <right style="thick">
        <color indexed="22"/>
      </right>
      <top style="medium">
        <color indexed="64"/>
      </top>
      <bottom/>
      <diagonal/>
    </border>
    <border>
      <left style="medium">
        <color indexed="64"/>
      </left>
      <right style="thick">
        <color indexed="22"/>
      </right>
      <top/>
      <bottom/>
      <diagonal/>
    </border>
    <border>
      <left style="medium">
        <color indexed="64"/>
      </left>
      <right/>
      <top style="thin">
        <color indexed="64"/>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top/>
      <bottom/>
      <diagonal/>
    </border>
    <border>
      <left/>
      <right style="thick">
        <color indexed="12"/>
      </right>
      <top/>
      <bottom/>
      <diagonal/>
    </border>
    <border>
      <left style="thick">
        <color indexed="12"/>
      </left>
      <right/>
      <top/>
      <bottom style="thick">
        <color indexed="12"/>
      </bottom>
      <diagonal/>
    </border>
    <border>
      <left/>
      <right style="thick">
        <color indexed="12"/>
      </right>
      <top/>
      <bottom style="thick">
        <color indexed="12"/>
      </bottom>
      <diagonal/>
    </border>
    <border>
      <left/>
      <right style="thick">
        <color indexed="43"/>
      </right>
      <top style="thick">
        <color indexed="43"/>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right style="medium">
        <color indexed="12"/>
      </right>
      <top style="medium">
        <color indexed="12"/>
      </top>
      <bottom style="medium">
        <color indexed="12"/>
      </bottom>
      <diagonal/>
    </border>
    <border>
      <left style="thin">
        <color indexed="10"/>
      </left>
      <right style="thin">
        <color indexed="10"/>
      </right>
      <top style="thin">
        <color indexed="10"/>
      </top>
      <bottom/>
      <diagonal/>
    </border>
    <border>
      <left style="thin">
        <color indexed="10"/>
      </left>
      <right style="thin">
        <color indexed="10"/>
      </right>
      <top/>
      <bottom/>
      <diagonal/>
    </border>
    <border>
      <left style="thin">
        <color indexed="10"/>
      </left>
      <right style="thin">
        <color indexed="10"/>
      </right>
      <top/>
      <bottom style="thin">
        <color indexed="10"/>
      </bottom>
      <diagonal/>
    </border>
    <border>
      <left style="thin">
        <color indexed="64"/>
      </left>
      <right/>
      <top style="thick">
        <color indexed="12"/>
      </top>
      <bottom style="thin">
        <color indexed="64"/>
      </bottom>
      <diagonal/>
    </border>
    <border>
      <left/>
      <right/>
      <top style="thick">
        <color indexed="12"/>
      </top>
      <bottom style="thin">
        <color indexed="64"/>
      </bottom>
      <diagonal/>
    </border>
    <border>
      <left/>
      <right style="thin">
        <color indexed="64"/>
      </right>
      <top style="thick">
        <color indexed="12"/>
      </top>
      <bottom style="thin">
        <color indexed="64"/>
      </bottom>
      <diagonal/>
    </border>
    <border>
      <left style="thin">
        <color indexed="64"/>
      </left>
      <right/>
      <top style="medium">
        <color indexed="64"/>
      </top>
      <bottom style="thick">
        <color indexed="22"/>
      </bottom>
      <diagonal/>
    </border>
    <border>
      <left/>
      <right style="thin">
        <color indexed="64"/>
      </right>
      <top style="medium">
        <color indexed="64"/>
      </top>
      <bottom style="thick">
        <color indexed="22"/>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0000FF"/>
      </left>
      <right style="thin">
        <color rgb="FF0000FF"/>
      </right>
      <top style="dotted">
        <color indexed="64"/>
      </top>
      <bottom style="dotted">
        <color indexed="64"/>
      </bottom>
      <diagonal/>
    </border>
    <border>
      <left style="thin">
        <color rgb="FF0000FF"/>
      </left>
      <right style="thin">
        <color rgb="FF0000FF"/>
      </right>
      <top/>
      <bottom/>
      <diagonal/>
    </border>
    <border>
      <left style="thin">
        <color rgb="FF0000FF"/>
      </left>
      <right style="thin">
        <color rgb="FF0000FF"/>
      </right>
      <top style="thin">
        <color rgb="FF0000FF"/>
      </top>
      <bottom/>
      <diagonal/>
    </border>
    <border>
      <left style="thin">
        <color rgb="FF0000FF"/>
      </left>
      <right style="thin">
        <color rgb="FF0000FF"/>
      </right>
      <top style="dotted">
        <color indexed="64"/>
      </top>
      <bottom/>
      <diagonal/>
    </border>
    <border>
      <left style="thin">
        <color rgb="FFFF0000"/>
      </left>
      <right style="thin">
        <color rgb="FFFF0000"/>
      </right>
      <top style="thin">
        <color rgb="FFFF0000"/>
      </top>
      <bottom style="thin">
        <color rgb="FFFF0000"/>
      </bottom>
      <diagonal/>
    </border>
    <border>
      <left/>
      <right style="thin">
        <color rgb="FF0000FF"/>
      </right>
      <top style="thin">
        <color rgb="FF0000FF"/>
      </top>
      <bottom/>
      <diagonal/>
    </border>
    <border>
      <left/>
      <right style="thin">
        <color rgb="FF0000FF"/>
      </right>
      <top/>
      <bottom/>
      <diagonal/>
    </border>
    <border>
      <left/>
      <right style="thin">
        <color rgb="FF0000FF"/>
      </right>
      <top style="dotted">
        <color indexed="64"/>
      </top>
      <bottom style="dotted">
        <color indexed="64"/>
      </bottom>
      <diagonal/>
    </border>
    <border>
      <left/>
      <right style="thin">
        <color rgb="FF0000FF"/>
      </right>
      <top style="dotted">
        <color indexed="64"/>
      </top>
      <bottom/>
      <diagonal/>
    </border>
    <border>
      <left style="thin">
        <color indexed="64"/>
      </left>
      <right style="thin">
        <color rgb="FF0000FF"/>
      </right>
      <top style="thin">
        <color rgb="FF0000FF"/>
      </top>
      <bottom/>
      <diagonal/>
    </border>
    <border>
      <left style="thin">
        <color indexed="64"/>
      </left>
      <right style="thin">
        <color rgb="FF0000FF"/>
      </right>
      <top/>
      <bottom/>
      <diagonal/>
    </border>
    <border>
      <left style="thin">
        <color indexed="64"/>
      </left>
      <right style="thin">
        <color rgb="FF0000FF"/>
      </right>
      <top style="dotted">
        <color indexed="64"/>
      </top>
      <bottom style="dotted">
        <color indexed="64"/>
      </bottom>
      <diagonal/>
    </border>
    <border>
      <left style="thin">
        <color indexed="64"/>
      </left>
      <right style="thin">
        <color rgb="FF0000FF"/>
      </right>
      <top style="dotted">
        <color indexed="64"/>
      </top>
      <bottom style="thin">
        <color rgb="FFFF0000"/>
      </bottom>
      <diagonal/>
    </border>
    <border>
      <left style="thin">
        <color rgb="FF0000FF"/>
      </left>
      <right style="thin">
        <color rgb="FF0000FF"/>
      </right>
      <top style="dotted">
        <color indexed="64"/>
      </top>
      <bottom style="thin">
        <color rgb="FFFF0000"/>
      </bottom>
      <diagonal/>
    </border>
    <border>
      <left/>
      <right style="dotted">
        <color rgb="FF0000FF"/>
      </right>
      <top style="dotted">
        <color rgb="FF0000FF"/>
      </top>
      <bottom style="dotted">
        <color rgb="FF0000FF"/>
      </bottom>
      <diagonal/>
    </border>
    <border>
      <left/>
      <right/>
      <top style="dotted">
        <color rgb="FF0000FF"/>
      </top>
      <bottom style="dotted">
        <color rgb="FF0000FF"/>
      </bottom>
      <diagonal/>
    </border>
    <border>
      <left style="dotted">
        <color rgb="FF0000FF"/>
      </left>
      <right/>
      <top style="dotted">
        <color rgb="FF0000FF"/>
      </top>
      <bottom style="dotted">
        <color rgb="FF0000FF"/>
      </bottom>
      <diagonal/>
    </border>
    <border>
      <left style="thin">
        <color rgb="FF0000FF"/>
      </left>
      <right style="thin">
        <color rgb="FF0000FF"/>
      </right>
      <top/>
      <bottom style="thin">
        <color rgb="FF0000FF"/>
      </bottom>
      <diagonal/>
    </border>
    <border>
      <left style="thin">
        <color rgb="FFFF0000"/>
      </left>
      <right style="thin">
        <color rgb="FF0000FF"/>
      </right>
      <top style="thin">
        <color rgb="FFFF0000"/>
      </top>
      <bottom style="thin">
        <color rgb="FFFF0000"/>
      </bottom>
      <diagonal/>
    </border>
    <border>
      <left/>
      <right style="thin">
        <color indexed="55"/>
      </right>
      <top/>
      <bottom style="thick">
        <color rgb="FF0000FF"/>
      </bottom>
      <diagonal/>
    </border>
    <border>
      <left/>
      <right/>
      <top/>
      <bottom style="thin">
        <color theme="1" tint="0.499984740745262"/>
      </bottom>
      <diagonal/>
    </border>
    <border>
      <left/>
      <right/>
      <top style="thin">
        <color theme="0"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34998626667073579"/>
      </left>
      <right/>
      <top style="thin">
        <color theme="0" tint="-0.34998626667073579"/>
      </top>
      <bottom/>
      <diagonal/>
    </border>
    <border>
      <left/>
      <right style="thick">
        <color theme="0"/>
      </right>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top/>
      <bottom/>
      <diagonal/>
    </border>
    <border>
      <left/>
      <right style="hair">
        <color theme="1" tint="0.499984740745262"/>
      </right>
      <top/>
      <bottom/>
      <diagonal/>
    </border>
    <border>
      <left/>
      <right style="thin">
        <color theme="1" tint="0.499984740745262"/>
      </right>
      <top/>
      <bottom style="dotted">
        <color theme="1" tint="0.499984740745262"/>
      </bottom>
      <diagonal/>
    </border>
    <border>
      <left style="thin">
        <color theme="1" tint="0.499984740745262"/>
      </left>
      <right/>
      <top/>
      <bottom style="dotted">
        <color theme="1" tint="0.499984740745262"/>
      </bottom>
      <diagonal/>
    </border>
    <border>
      <left/>
      <right/>
      <top/>
      <bottom style="dotted">
        <color theme="1" tint="0.499984740745262"/>
      </bottom>
      <diagonal/>
    </border>
    <border>
      <left/>
      <right style="thin">
        <color theme="1" tint="0.499984740745262"/>
      </right>
      <top/>
      <bottom style="thick">
        <color theme="1" tint="0.499984740745262"/>
      </bottom>
      <diagonal/>
    </border>
    <border>
      <left style="thin">
        <color rgb="FF0000FF"/>
      </left>
      <right style="thin">
        <color rgb="FF0000FF"/>
      </right>
      <top style="thin">
        <color indexed="64"/>
      </top>
      <bottom style="thin">
        <color indexed="64"/>
      </bottom>
      <diagonal/>
    </border>
    <border>
      <left style="thin">
        <color indexed="64"/>
      </left>
      <right style="thin">
        <color rgb="FF0000FF"/>
      </right>
      <top style="dotted">
        <color indexed="64"/>
      </top>
      <bottom style="thin">
        <color rgb="FF0000FF"/>
      </bottom>
      <diagonal/>
    </border>
    <border>
      <left style="thin">
        <color rgb="FF0000FF"/>
      </left>
      <right style="thin">
        <color rgb="FF0000FF"/>
      </right>
      <top style="dotted">
        <color indexed="64"/>
      </top>
      <bottom style="thin">
        <color rgb="FF0000FF"/>
      </bottom>
      <diagonal/>
    </border>
    <border>
      <left style="thin">
        <color rgb="FF0000FF"/>
      </left>
      <right/>
      <top style="dashed">
        <color indexed="64"/>
      </top>
      <bottom style="thin">
        <color indexed="64"/>
      </bottom>
      <diagonal/>
    </border>
    <border>
      <left style="medium">
        <color rgb="FF333333"/>
      </left>
      <right/>
      <top style="medium">
        <color rgb="FF333333"/>
      </top>
      <bottom/>
      <diagonal/>
    </border>
    <border>
      <left/>
      <right/>
      <top style="medium">
        <color rgb="FF333333"/>
      </top>
      <bottom/>
      <diagonal/>
    </border>
    <border>
      <left/>
      <right style="medium">
        <color rgb="FF333333"/>
      </right>
      <top style="medium">
        <color rgb="FF333333"/>
      </top>
      <bottom/>
      <diagonal/>
    </border>
    <border>
      <left style="medium">
        <color rgb="FF333333"/>
      </left>
      <right/>
      <top/>
      <bottom/>
      <diagonal/>
    </border>
    <border>
      <left/>
      <right style="medium">
        <color rgb="FF333333"/>
      </right>
      <top/>
      <bottom/>
      <diagonal/>
    </border>
    <border>
      <left/>
      <right/>
      <top/>
      <bottom style="medium">
        <color rgb="FF333333"/>
      </bottom>
      <diagonal/>
    </border>
    <border>
      <left/>
      <right style="medium">
        <color rgb="FF333333"/>
      </right>
      <top/>
      <bottom style="medium">
        <color rgb="FF333333"/>
      </bottom>
      <diagonal/>
    </border>
    <border>
      <left/>
      <right/>
      <top style="hair">
        <color theme="1" tint="0.499984740745262"/>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top style="hair">
        <color theme="1" tint="0.499984740745262"/>
      </top>
      <bottom/>
      <diagonal/>
    </border>
    <border>
      <left/>
      <right style="hair">
        <color theme="1" tint="0.499984740745262"/>
      </right>
      <top style="hair">
        <color theme="1" tint="0.499984740745262"/>
      </top>
      <bottom/>
      <diagonal/>
    </border>
    <border>
      <left/>
      <right style="hair">
        <color theme="1" tint="0.499984740745262"/>
      </right>
      <top/>
      <bottom style="hair">
        <color theme="1" tint="0.499984740745262"/>
      </bottom>
      <diagonal/>
    </border>
    <border>
      <left style="thin">
        <color theme="1" tint="0.499984740745262"/>
      </left>
      <right/>
      <top/>
      <bottom style="thick">
        <color theme="1" tint="0.499984740745262"/>
      </bottom>
      <diagonal/>
    </border>
    <border>
      <left/>
      <right/>
      <top/>
      <bottom style="thick">
        <color theme="1" tint="0.499984740745262"/>
      </bottom>
      <diagonal/>
    </border>
    <border>
      <left style="thick">
        <color indexed="40"/>
      </left>
      <right/>
      <top style="thick">
        <color rgb="FFFF0000"/>
      </top>
      <bottom/>
      <diagonal/>
    </border>
    <border>
      <left/>
      <right/>
      <top style="thick">
        <color rgb="FFFF0000"/>
      </top>
      <bottom/>
      <diagonal/>
    </border>
    <border>
      <left style="thin">
        <color indexed="55"/>
      </left>
      <right/>
      <top style="thick">
        <color rgb="FFFF0000"/>
      </top>
      <bottom style="thin">
        <color indexed="55"/>
      </bottom>
      <diagonal/>
    </border>
    <border>
      <left/>
      <right/>
      <top style="thick">
        <color rgb="FFFF0000"/>
      </top>
      <bottom style="thin">
        <color indexed="55"/>
      </bottom>
      <diagonal/>
    </border>
    <border>
      <left style="hair">
        <color indexed="55"/>
      </left>
      <right style="thin">
        <color indexed="64"/>
      </right>
      <top style="thick">
        <color rgb="FFFF0000"/>
      </top>
      <bottom style="thin">
        <color indexed="55"/>
      </bottom>
      <diagonal/>
    </border>
    <border>
      <left style="thin">
        <color indexed="64"/>
      </left>
      <right style="hair">
        <color indexed="55"/>
      </right>
      <top style="thick">
        <color rgb="FFFF0000"/>
      </top>
      <bottom style="thin">
        <color indexed="64"/>
      </bottom>
      <diagonal/>
    </border>
    <border>
      <left style="thin">
        <color indexed="64"/>
      </left>
      <right/>
      <top style="thick">
        <color rgb="FFFF0000"/>
      </top>
      <bottom style="thin">
        <color indexed="64"/>
      </bottom>
      <diagonal/>
    </border>
    <border>
      <left style="thin">
        <color indexed="64"/>
      </left>
      <right/>
      <top style="thick">
        <color rgb="FFFF0000"/>
      </top>
      <bottom/>
      <diagonal/>
    </border>
    <border>
      <left/>
      <right style="thin">
        <color indexed="64"/>
      </right>
      <top style="thick">
        <color rgb="FFFF0000"/>
      </top>
      <bottom/>
      <diagonal/>
    </border>
    <border>
      <left/>
      <right style="thin">
        <color indexed="64"/>
      </right>
      <top style="thick">
        <color rgb="FFFF0000"/>
      </top>
      <bottom style="thin">
        <color indexed="64"/>
      </bottom>
      <diagonal/>
    </border>
    <border>
      <left/>
      <right style="thick">
        <color indexed="40"/>
      </right>
      <top style="thin">
        <color theme="1" tint="0.499984740745262"/>
      </top>
      <bottom style="thin">
        <color theme="1" tint="0.499984740745262"/>
      </bottom>
      <diagonal/>
    </border>
    <border>
      <left style="medium">
        <color indexed="64"/>
      </left>
      <right style="thick">
        <color rgb="FF00B050"/>
      </right>
      <top style="thick">
        <color rgb="FF00B050"/>
      </top>
      <bottom style="thick">
        <color rgb="FF00B050"/>
      </bottom>
      <diagonal/>
    </border>
    <border>
      <left style="thick">
        <color rgb="FFFFCC99"/>
      </left>
      <right style="thick">
        <color rgb="FFFFCC99"/>
      </right>
      <top/>
      <bottom style="thick">
        <color rgb="FFFFCC99"/>
      </bottom>
      <diagonal/>
    </border>
    <border>
      <left style="thick">
        <color rgb="FFFFCC99"/>
      </left>
      <right style="thick">
        <color rgb="FFFFCC99"/>
      </right>
      <top style="thick">
        <color rgb="FFFFCC99"/>
      </top>
      <bottom style="thick">
        <color rgb="FFFFCC99"/>
      </bottom>
      <diagonal/>
    </border>
    <border>
      <left style="thick">
        <color rgb="FFFFCC99"/>
      </left>
      <right style="thick">
        <color rgb="FFFFCC99"/>
      </right>
      <top style="thick">
        <color rgb="FFFFCC99"/>
      </top>
      <bottom/>
      <diagonal/>
    </border>
    <border>
      <left style="hair">
        <color indexed="55"/>
      </left>
      <right style="thin">
        <color indexed="64"/>
      </right>
      <top style="thin">
        <color theme="1"/>
      </top>
      <bottom style="thin">
        <color theme="1"/>
      </bottom>
      <diagonal/>
    </border>
    <border>
      <left style="hair">
        <color indexed="55"/>
      </left>
      <right style="thin">
        <color indexed="64"/>
      </right>
      <top style="thick">
        <color rgb="FFFF0000"/>
      </top>
      <bottom style="thin">
        <color theme="1"/>
      </bottom>
      <diagonal/>
    </border>
    <border>
      <left style="hair">
        <color indexed="55"/>
      </left>
      <right style="thin">
        <color indexed="64"/>
      </right>
      <top style="thin">
        <color theme="1"/>
      </top>
      <bottom style="thin">
        <color indexed="64"/>
      </bottom>
      <diagonal/>
    </border>
    <border>
      <left style="hair">
        <color indexed="55"/>
      </left>
      <right style="thin">
        <color indexed="64"/>
      </right>
      <top style="thick">
        <color rgb="FFFF0000"/>
      </top>
      <bottom style="thin">
        <color indexed="64"/>
      </bottom>
      <diagonal/>
    </border>
    <border>
      <left style="thick">
        <color rgb="FF00CCFF"/>
      </left>
      <right/>
      <top style="hair">
        <color indexed="64"/>
      </top>
      <bottom style="hair">
        <color indexed="64"/>
      </bottom>
      <diagonal/>
    </border>
    <border>
      <left style="thick">
        <color rgb="FF0000FF"/>
      </left>
      <right/>
      <top style="thick">
        <color rgb="FF0000FF"/>
      </top>
      <bottom/>
      <diagonal/>
    </border>
    <border>
      <left/>
      <right/>
      <top style="thick">
        <color rgb="FF0000FF"/>
      </top>
      <bottom/>
      <diagonal/>
    </border>
    <border>
      <left/>
      <right style="thick">
        <color rgb="FF0000FF"/>
      </right>
      <top style="thick">
        <color rgb="FF0000FF"/>
      </top>
      <bottom/>
      <diagonal/>
    </border>
    <border>
      <left style="thick">
        <color rgb="FF0000FF"/>
      </left>
      <right/>
      <top/>
      <bottom/>
      <diagonal/>
    </border>
    <border>
      <left/>
      <right style="thick">
        <color rgb="FF0000FF"/>
      </right>
      <top/>
      <bottom/>
      <diagonal/>
    </border>
    <border>
      <left style="thick">
        <color rgb="FF0000FF"/>
      </left>
      <right/>
      <top/>
      <bottom style="thick">
        <color rgb="FF0000FF"/>
      </bottom>
      <diagonal/>
    </border>
    <border>
      <left/>
      <right/>
      <top/>
      <bottom style="thick">
        <color rgb="FF0000FF"/>
      </bottom>
      <diagonal/>
    </border>
    <border>
      <left/>
      <right style="thick">
        <color rgb="FF0000FF"/>
      </right>
      <top/>
      <bottom style="thick">
        <color rgb="FF0000FF"/>
      </bottom>
      <diagonal/>
    </border>
    <border>
      <left style="thick">
        <color theme="0"/>
      </left>
      <right/>
      <top style="thick">
        <color theme="0"/>
      </top>
      <bottom/>
      <diagonal/>
    </border>
    <border>
      <left/>
      <right style="thick">
        <color theme="0"/>
      </right>
      <top style="thick">
        <color theme="0"/>
      </top>
      <bottom/>
      <diagonal/>
    </border>
    <border>
      <left style="thick">
        <color theme="0"/>
      </left>
      <right/>
      <top/>
      <bottom/>
      <diagonal/>
    </border>
    <border>
      <left style="thick">
        <color theme="0"/>
      </left>
      <right/>
      <top/>
      <bottom style="thick">
        <color theme="0"/>
      </bottom>
      <diagonal/>
    </border>
    <border>
      <left/>
      <right style="thick">
        <color theme="0"/>
      </right>
      <top/>
      <bottom style="thick">
        <color theme="0"/>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diagonal/>
    </border>
    <border>
      <left style="hair">
        <color theme="1" tint="0.499984740745262"/>
      </left>
      <right style="hair">
        <color theme="1" tint="0.499984740745262"/>
      </right>
      <top/>
      <bottom style="hair">
        <color theme="1" tint="0.499984740745262"/>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ck">
        <color theme="1" tint="0.499984740745262"/>
      </left>
      <right/>
      <top style="thick">
        <color theme="1" tint="0.499984740745262"/>
      </top>
      <bottom/>
      <diagonal/>
    </border>
    <border>
      <left/>
      <right/>
      <top style="thick">
        <color theme="1" tint="0.499984740745262"/>
      </top>
      <bottom/>
      <diagonal/>
    </border>
    <border>
      <left/>
      <right style="thick">
        <color theme="1" tint="0.499984740745262"/>
      </right>
      <top style="thick">
        <color theme="1" tint="0.499984740745262"/>
      </top>
      <bottom/>
      <diagonal/>
    </border>
    <border>
      <left style="thick">
        <color theme="1" tint="0.499984740745262"/>
      </left>
      <right/>
      <top/>
      <bottom style="thin">
        <color theme="1" tint="0.499984740745262"/>
      </bottom>
      <diagonal/>
    </border>
    <border>
      <left/>
      <right style="thick">
        <color theme="1" tint="0.499984740745262"/>
      </right>
      <top/>
      <bottom style="thin">
        <color theme="1" tint="0.499984740745262"/>
      </bottom>
      <diagonal/>
    </border>
    <border>
      <left/>
      <right style="thick">
        <color theme="1" tint="0.499984740745262"/>
      </right>
      <top/>
      <bottom/>
      <diagonal/>
    </border>
    <border>
      <left/>
      <right style="thick">
        <color theme="1" tint="0.499984740745262"/>
      </right>
      <top/>
      <bottom style="thick">
        <color theme="1" tint="0.499984740745262"/>
      </bottom>
      <diagonal/>
    </border>
    <border>
      <left style="thick">
        <color theme="1" tint="0.499984740745262"/>
      </left>
      <right/>
      <top/>
      <bottom/>
      <diagonal/>
    </border>
    <border>
      <left style="thick">
        <color theme="1" tint="0.499984740745262"/>
      </left>
      <right/>
      <top/>
      <bottom style="thick">
        <color theme="1" tint="0.499984740745262"/>
      </bottom>
      <diagonal/>
    </border>
    <border>
      <left style="thin">
        <color theme="1" tint="0.499984740745262"/>
      </left>
      <right/>
      <top style="dotted">
        <color theme="1" tint="0.499984740745262"/>
      </top>
      <bottom/>
      <diagonal/>
    </border>
    <border>
      <left/>
      <right/>
      <top style="dotted">
        <color theme="1" tint="0.499984740745262"/>
      </top>
      <bottom/>
      <diagonal/>
    </border>
    <border>
      <left/>
      <right style="thick">
        <color theme="1" tint="0.499984740745262"/>
      </right>
      <top style="dotted">
        <color theme="1" tint="0.499984740745262"/>
      </top>
      <bottom/>
      <diagonal/>
    </border>
    <border>
      <left style="medium">
        <color rgb="FF0000FF"/>
      </left>
      <right/>
      <top style="medium">
        <color rgb="FF0000FF"/>
      </top>
      <bottom style="medium">
        <color rgb="FF0000FF"/>
      </bottom>
      <diagonal/>
    </border>
    <border>
      <left/>
      <right/>
      <top style="medium">
        <color rgb="FF0000FF"/>
      </top>
      <bottom style="medium">
        <color rgb="FF0000FF"/>
      </bottom>
      <diagonal/>
    </border>
    <border>
      <left/>
      <right style="medium">
        <color rgb="FF0000FF"/>
      </right>
      <top style="medium">
        <color rgb="FF0000FF"/>
      </top>
      <bottom style="medium">
        <color rgb="FF0000FF"/>
      </bottom>
      <diagonal/>
    </border>
    <border>
      <left style="hair">
        <color theme="1" tint="0.499984740745262"/>
      </left>
      <right/>
      <top/>
      <bottom style="thin">
        <color theme="1" tint="0.499984740745262"/>
      </bottom>
      <diagonal/>
    </border>
    <border>
      <left/>
      <right style="hair">
        <color theme="1" tint="0.499984740745262"/>
      </right>
      <top style="thin">
        <color theme="1" tint="0.499984740745262"/>
      </top>
      <bottom/>
      <diagonal/>
    </border>
    <border>
      <left style="hair">
        <color theme="1" tint="0.499984740745262"/>
      </left>
      <right/>
      <top style="thin">
        <color theme="1" tint="0.499984740745262"/>
      </top>
      <bottom/>
      <diagonal/>
    </border>
    <border>
      <left/>
      <right style="hair">
        <color theme="1" tint="0.499984740745262"/>
      </right>
      <top/>
      <bottom style="thin">
        <color theme="1" tint="0.499984740745262"/>
      </bottom>
      <diagonal/>
    </border>
    <border>
      <left/>
      <right/>
      <top style="thick">
        <color rgb="FFFF0000"/>
      </top>
      <bottom style="thin">
        <color indexed="64"/>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medium">
        <color indexed="64"/>
      </right>
      <top style="thick">
        <color rgb="FF00B050"/>
      </top>
      <bottom style="thick">
        <color rgb="FF00B050"/>
      </bottom>
      <diagonal/>
    </border>
    <border>
      <left style="medium">
        <color indexed="64"/>
      </left>
      <right/>
      <top style="thick">
        <color rgb="FF00B050"/>
      </top>
      <bottom style="thick">
        <color rgb="FF00B050"/>
      </bottom>
      <diagonal/>
    </border>
    <border>
      <left style="medium">
        <color indexed="64"/>
      </left>
      <right style="thin">
        <color indexed="64"/>
      </right>
      <top style="thick">
        <color rgb="FF00B050"/>
      </top>
      <bottom style="thick">
        <color rgb="FF00B050"/>
      </bottom>
      <diagonal/>
    </border>
    <border>
      <left style="thin">
        <color indexed="64"/>
      </left>
      <right style="medium">
        <color indexed="64"/>
      </right>
      <top style="thick">
        <color rgb="FF00B050"/>
      </top>
      <bottom style="thick">
        <color rgb="FF00B050"/>
      </bottom>
      <diagonal/>
    </border>
    <border>
      <left style="thin">
        <color indexed="64"/>
      </left>
      <right style="thick">
        <color rgb="FF00B050"/>
      </right>
      <top style="thick">
        <color rgb="FF00B050"/>
      </top>
      <bottom style="thick">
        <color rgb="FF00B050"/>
      </bottom>
      <diagonal/>
    </border>
    <border>
      <left/>
      <right style="thick">
        <color rgb="FF00B050"/>
      </right>
      <top style="thick">
        <color rgb="FF00B050"/>
      </top>
      <bottom style="thick">
        <color rgb="FF00B050"/>
      </bottom>
      <diagonal/>
    </border>
    <border>
      <left style="medium">
        <color indexed="64"/>
      </left>
      <right/>
      <top/>
      <bottom style="thick">
        <color rgb="FF00B050"/>
      </bottom>
      <diagonal/>
    </border>
    <border>
      <left/>
      <right/>
      <top/>
      <bottom style="thick">
        <color rgb="FF00B050"/>
      </bottom>
      <diagonal/>
    </border>
    <border>
      <left/>
      <right style="medium">
        <color indexed="64"/>
      </right>
      <top/>
      <bottom style="thick">
        <color rgb="FF00B050"/>
      </bottom>
      <diagonal/>
    </border>
    <border>
      <left style="thin">
        <color rgb="FF0000FF"/>
      </left>
      <right/>
      <top/>
      <bottom style="thin">
        <color indexed="64"/>
      </bottom>
      <diagonal/>
    </border>
    <border>
      <left/>
      <right style="thin">
        <color rgb="FF0000FF"/>
      </right>
      <top/>
      <bottom style="thin">
        <color indexed="64"/>
      </bottom>
      <diagonal/>
    </border>
    <border>
      <left style="hair">
        <color indexed="55"/>
      </left>
      <right style="thin">
        <color indexed="64"/>
      </right>
      <top style="thin">
        <color theme="1"/>
      </top>
      <bottom/>
      <diagonal/>
    </border>
    <border>
      <left style="thick">
        <color indexed="22"/>
      </left>
      <right style="thick">
        <color indexed="22"/>
      </right>
      <top style="thick">
        <color indexed="22"/>
      </top>
      <bottom/>
      <diagonal/>
    </border>
    <border>
      <left style="thin">
        <color indexed="64"/>
      </left>
      <right/>
      <top/>
      <bottom style="thick">
        <color rgb="FFFF0000"/>
      </bottom>
      <diagonal/>
    </border>
    <border>
      <left/>
      <right/>
      <top/>
      <bottom style="thick">
        <color rgb="FFFF0000"/>
      </bottom>
      <diagonal/>
    </border>
    <border>
      <left style="thin">
        <color indexed="64"/>
      </left>
      <right style="thick">
        <color indexed="22"/>
      </right>
      <top style="thick">
        <color rgb="FFFF0000"/>
      </top>
      <bottom style="thick">
        <color indexed="22"/>
      </bottom>
      <diagonal/>
    </border>
    <border>
      <left style="thick">
        <color indexed="22"/>
      </left>
      <right style="thick">
        <color indexed="22"/>
      </right>
      <top style="thick">
        <color rgb="FFFF0000"/>
      </top>
      <bottom style="thick">
        <color indexed="22"/>
      </bottom>
      <diagonal/>
    </border>
    <border>
      <left style="medium">
        <color rgb="FFFF0000"/>
      </left>
      <right style="medium">
        <color rgb="FFFF0000"/>
      </right>
      <top style="medium">
        <color indexed="64"/>
      </top>
      <bottom/>
      <diagonal/>
    </border>
    <border>
      <left style="medium">
        <color rgb="FFFF0000"/>
      </left>
      <right style="medium">
        <color rgb="FFFF0000"/>
      </right>
      <top/>
      <bottom style="medium">
        <color rgb="FFFF0000"/>
      </bottom>
      <diagonal/>
    </border>
  </borders>
  <cellStyleXfs count="5">
    <xf numFmtId="0" fontId="0" fillId="0" borderId="0"/>
    <xf numFmtId="44" fontId="1" fillId="0" borderId="0" applyFont="0" applyFill="0" applyBorder="0" applyAlignment="0" applyProtection="0"/>
    <xf numFmtId="0" fontId="9" fillId="2" borderId="0"/>
    <xf numFmtId="0" fontId="2" fillId="0" borderId="0" applyNumberFormat="0" applyFill="0" applyBorder="0" applyAlignment="0" applyProtection="0">
      <alignment vertical="top"/>
      <protection locked="0"/>
    </xf>
    <xf numFmtId="0" fontId="5" fillId="0" borderId="0"/>
  </cellStyleXfs>
  <cellXfs count="1845">
    <xf numFmtId="0" fontId="0" fillId="0" borderId="0" xfId="0"/>
    <xf numFmtId="0" fontId="5" fillId="0" borderId="0" xfId="0" applyFont="1"/>
    <xf numFmtId="0" fontId="12" fillId="3" borderId="1" xfId="0" applyFont="1" applyFill="1" applyBorder="1" applyAlignment="1" applyProtection="1">
      <alignment vertical="center"/>
    </xf>
    <xf numFmtId="0" fontId="12" fillId="3" borderId="2" xfId="0" applyFont="1" applyFill="1" applyBorder="1" applyAlignment="1" applyProtection="1">
      <alignment vertical="center"/>
    </xf>
    <xf numFmtId="0" fontId="5" fillId="3" borderId="0" xfId="0" applyFont="1" applyFill="1" applyBorder="1" applyAlignment="1" applyProtection="1">
      <alignment vertical="center"/>
    </xf>
    <xf numFmtId="49" fontId="5" fillId="3" borderId="3" xfId="0" applyNumberFormat="1" applyFont="1" applyFill="1" applyBorder="1" applyAlignment="1" applyProtection="1">
      <alignment horizontal="left"/>
    </xf>
    <xf numFmtId="0" fontId="5" fillId="0" borderId="0" xfId="0" applyFont="1" applyAlignment="1" applyProtection="1">
      <alignment vertical="center"/>
    </xf>
    <xf numFmtId="0" fontId="5" fillId="3" borderId="2" xfId="0" applyFont="1" applyFill="1" applyBorder="1" applyAlignment="1" applyProtection="1">
      <alignment vertical="center"/>
    </xf>
    <xf numFmtId="0" fontId="5" fillId="3" borderId="4" xfId="0" applyFont="1" applyFill="1" applyBorder="1" applyAlignment="1" applyProtection="1">
      <alignment vertical="center"/>
    </xf>
    <xf numFmtId="0" fontId="15" fillId="0" borderId="0" xfId="0" applyFont="1" applyAlignment="1" applyProtection="1">
      <alignment vertical="center"/>
    </xf>
    <xf numFmtId="0" fontId="13" fillId="4" borderId="0" xfId="0" applyFont="1" applyFill="1" applyAlignment="1" applyProtection="1">
      <alignment vertical="center"/>
    </xf>
    <xf numFmtId="0" fontId="15" fillId="4" borderId="0" xfId="0" applyFont="1" applyFill="1" applyAlignment="1" applyProtection="1">
      <alignment vertical="center"/>
    </xf>
    <xf numFmtId="0" fontId="13" fillId="4" borderId="0" xfId="0" applyFont="1" applyFill="1" applyAlignment="1" applyProtection="1">
      <alignment vertical="center" wrapText="1"/>
    </xf>
    <xf numFmtId="0" fontId="5" fillId="3" borderId="4" xfId="0" applyFont="1" applyFill="1" applyBorder="1" applyAlignment="1" applyProtection="1">
      <alignment vertical="center" wrapText="1"/>
    </xf>
    <xf numFmtId="0" fontId="4" fillId="3" borderId="0" xfId="0" applyFont="1" applyFill="1" applyBorder="1" applyAlignment="1" applyProtection="1">
      <alignment vertical="center" wrapText="1"/>
    </xf>
    <xf numFmtId="0" fontId="5" fillId="0" borderId="0" xfId="0" applyFont="1" applyAlignment="1" applyProtection="1">
      <alignment vertical="center" wrapText="1"/>
    </xf>
    <xf numFmtId="0" fontId="11" fillId="4" borderId="0" xfId="0" applyFont="1" applyFill="1" applyAlignment="1" applyProtection="1">
      <alignment vertical="center"/>
    </xf>
    <xf numFmtId="49" fontId="5" fillId="3" borderId="5" xfId="0" applyNumberFormat="1" applyFont="1" applyFill="1" applyBorder="1" applyAlignment="1" applyProtection="1">
      <alignment horizontal="left"/>
    </xf>
    <xf numFmtId="0" fontId="15" fillId="3" borderId="0" xfId="0" applyFont="1" applyFill="1" applyBorder="1" applyAlignment="1" applyProtection="1">
      <alignment vertical="center"/>
    </xf>
    <xf numFmtId="172" fontId="20" fillId="5" borderId="6" xfId="0" applyNumberFormat="1" applyFont="1" applyFill="1" applyBorder="1" applyAlignment="1" applyProtection="1">
      <alignment horizontal="center" vertical="center" shrinkToFit="1"/>
    </xf>
    <xf numFmtId="164" fontId="5" fillId="3" borderId="7" xfId="0" applyNumberFormat="1" applyFont="1" applyFill="1" applyBorder="1" applyAlignment="1" applyProtection="1">
      <alignment horizontal="center" vertical="center"/>
    </xf>
    <xf numFmtId="172" fontId="20" fillId="6" borderId="6" xfId="0" applyNumberFormat="1" applyFont="1" applyFill="1" applyBorder="1" applyAlignment="1" applyProtection="1">
      <alignment horizontal="center" vertical="center" shrinkToFit="1"/>
    </xf>
    <xf numFmtId="0" fontId="5" fillId="3" borderId="8" xfId="0" applyFont="1" applyFill="1" applyBorder="1" applyAlignment="1" applyProtection="1">
      <alignment vertical="center" wrapText="1"/>
    </xf>
    <xf numFmtId="0" fontId="5" fillId="3" borderId="9" xfId="0" applyFont="1" applyFill="1" applyBorder="1" applyAlignment="1" applyProtection="1">
      <alignment vertical="center" wrapText="1"/>
    </xf>
    <xf numFmtId="0" fontId="5" fillId="3" borderId="10" xfId="0" applyFont="1"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164" fontId="5" fillId="3" borderId="12" xfId="0" applyNumberFormat="1" applyFont="1" applyFill="1" applyBorder="1" applyAlignment="1" applyProtection="1">
      <alignment horizontal="center" vertical="center"/>
    </xf>
    <xf numFmtId="164" fontId="5" fillId="3" borderId="13" xfId="0" applyNumberFormat="1" applyFont="1" applyFill="1" applyBorder="1" applyAlignment="1" applyProtection="1">
      <alignment horizontal="center" vertical="center"/>
    </xf>
    <xf numFmtId="178" fontId="20" fillId="5" borderId="14" xfId="0" applyNumberFormat="1" applyFont="1" applyFill="1" applyBorder="1" applyAlignment="1" applyProtection="1">
      <alignment horizontal="center" vertical="center" shrinkToFit="1"/>
    </xf>
    <xf numFmtId="179" fontId="20" fillId="5" borderId="14" xfId="0" applyNumberFormat="1" applyFont="1" applyFill="1" applyBorder="1" applyAlignment="1" applyProtection="1">
      <alignment horizontal="center" vertical="center" shrinkToFit="1"/>
    </xf>
    <xf numFmtId="180" fontId="20" fillId="5" borderId="14" xfId="0" applyNumberFormat="1" applyFont="1" applyFill="1" applyBorder="1" applyAlignment="1" applyProtection="1">
      <alignment horizontal="center" vertical="center" shrinkToFit="1"/>
    </xf>
    <xf numFmtId="49" fontId="5" fillId="3" borderId="15" xfId="0" applyNumberFormat="1" applyFont="1" applyFill="1" applyBorder="1" applyAlignment="1" applyProtection="1">
      <alignment horizontal="left"/>
    </xf>
    <xf numFmtId="49" fontId="5" fillId="3" borderId="16" xfId="0" applyNumberFormat="1" applyFont="1" applyFill="1" applyBorder="1" applyAlignment="1" applyProtection="1">
      <alignment horizontal="left"/>
    </xf>
    <xf numFmtId="164" fontId="5" fillId="3" borderId="17" xfId="0" applyNumberFormat="1" applyFont="1" applyFill="1" applyBorder="1" applyAlignment="1" applyProtection="1">
      <alignment horizontal="center" vertical="center"/>
    </xf>
    <xf numFmtId="172" fontId="20" fillId="6" borderId="18" xfId="0" applyNumberFormat="1" applyFont="1" applyFill="1" applyBorder="1" applyAlignment="1" applyProtection="1">
      <alignment horizontal="center" vertical="center" shrinkToFit="1"/>
    </xf>
    <xf numFmtId="164" fontId="5" fillId="3" borderId="19" xfId="0" applyNumberFormat="1" applyFont="1" applyFill="1" applyBorder="1" applyAlignment="1" applyProtection="1">
      <alignment horizontal="center" vertical="center"/>
    </xf>
    <xf numFmtId="177" fontId="20" fillId="6" borderId="20" xfId="0" applyNumberFormat="1" applyFont="1" applyFill="1" applyBorder="1" applyAlignment="1" applyProtection="1">
      <alignment horizontal="center" vertical="center" shrinkToFit="1"/>
    </xf>
    <xf numFmtId="49" fontId="5" fillId="3" borderId="21" xfId="0" applyNumberFormat="1" applyFont="1" applyFill="1" applyBorder="1" applyAlignment="1" applyProtection="1">
      <alignment horizontal="left"/>
    </xf>
    <xf numFmtId="49" fontId="5" fillId="3" borderId="22" xfId="0" applyNumberFormat="1" applyFont="1" applyFill="1" applyBorder="1" applyAlignment="1" applyProtection="1">
      <alignment horizontal="left"/>
    </xf>
    <xf numFmtId="164" fontId="5" fillId="3" borderId="23" xfId="0" applyNumberFormat="1" applyFont="1" applyFill="1" applyBorder="1" applyAlignment="1" applyProtection="1">
      <alignment horizontal="center" vertical="center"/>
    </xf>
    <xf numFmtId="172" fontId="20" fillId="5" borderId="24" xfId="0" applyNumberFormat="1" applyFont="1" applyFill="1" applyBorder="1" applyAlignment="1" applyProtection="1">
      <alignment horizontal="center" vertical="center" shrinkToFit="1"/>
    </xf>
    <xf numFmtId="164" fontId="5" fillId="3" borderId="25" xfId="0" applyNumberFormat="1" applyFont="1" applyFill="1" applyBorder="1" applyAlignment="1" applyProtection="1">
      <alignment horizontal="center" vertical="center"/>
    </xf>
    <xf numFmtId="178" fontId="20" fillId="5" borderId="26" xfId="0" applyNumberFormat="1" applyFont="1" applyFill="1" applyBorder="1" applyAlignment="1" applyProtection="1">
      <alignment horizontal="center" vertical="center" shrinkToFit="1"/>
    </xf>
    <xf numFmtId="179" fontId="20" fillId="5" borderId="26" xfId="0" applyNumberFormat="1" applyFont="1" applyFill="1" applyBorder="1" applyAlignment="1" applyProtection="1">
      <alignment horizontal="center" vertical="center" shrinkToFit="1"/>
    </xf>
    <xf numFmtId="180" fontId="20" fillId="5" borderId="26" xfId="0" applyNumberFormat="1" applyFont="1" applyFill="1" applyBorder="1" applyAlignment="1" applyProtection="1">
      <alignment horizontal="center" vertical="center" shrinkToFit="1"/>
    </xf>
    <xf numFmtId="164" fontId="5" fillId="3" borderId="27" xfId="0" applyNumberFormat="1" applyFont="1" applyFill="1" applyBorder="1" applyAlignment="1" applyProtection="1">
      <alignment horizontal="center" vertical="center"/>
    </xf>
    <xf numFmtId="0" fontId="5" fillId="3" borderId="2" xfId="0" applyFont="1" applyFill="1" applyBorder="1" applyAlignment="1" applyProtection="1">
      <alignment horizontal="center" vertical="center"/>
    </xf>
    <xf numFmtId="0" fontId="5" fillId="3" borderId="28" xfId="0" applyFont="1" applyFill="1" applyBorder="1" applyAlignment="1" applyProtection="1">
      <alignment vertical="center"/>
    </xf>
    <xf numFmtId="0" fontId="13" fillId="3" borderId="0" xfId="0" applyFont="1" applyFill="1" applyAlignment="1" applyProtection="1">
      <alignment vertical="center" wrapText="1"/>
    </xf>
    <xf numFmtId="0" fontId="13" fillId="3" borderId="2" xfId="0" applyFont="1" applyFill="1" applyBorder="1" applyAlignment="1" applyProtection="1">
      <alignment vertical="center"/>
    </xf>
    <xf numFmtId="0" fontId="13" fillId="3" borderId="20" xfId="0" applyFont="1" applyFill="1" applyBorder="1" applyAlignment="1" applyProtection="1">
      <alignment vertical="center"/>
    </xf>
    <xf numFmtId="0" fontId="13" fillId="3" borderId="9" xfId="0" applyFont="1" applyFill="1" applyBorder="1" applyAlignment="1" applyProtection="1">
      <alignment vertical="center" wrapText="1"/>
    </xf>
    <xf numFmtId="0" fontId="5" fillId="3" borderId="10" xfId="0" applyFont="1" applyFill="1" applyBorder="1" applyAlignment="1" applyProtection="1">
      <alignment horizontal="right" vertical="center"/>
    </xf>
    <xf numFmtId="0" fontId="5" fillId="3" borderId="14" xfId="0" applyFont="1" applyFill="1" applyBorder="1" applyAlignment="1" applyProtection="1">
      <alignment vertical="center"/>
    </xf>
    <xf numFmtId="0" fontId="5" fillId="3" borderId="0" xfId="0" applyFont="1" applyFill="1" applyAlignment="1" applyProtection="1">
      <alignment vertical="center"/>
    </xf>
    <xf numFmtId="0" fontId="5" fillId="3" borderId="26" xfId="0" applyFont="1" applyFill="1" applyBorder="1" applyAlignment="1" applyProtection="1">
      <alignment vertical="center"/>
    </xf>
    <xf numFmtId="0" fontId="5" fillId="3" borderId="29" xfId="0" applyFont="1" applyFill="1" applyBorder="1" applyAlignment="1" applyProtection="1">
      <alignment vertical="center"/>
    </xf>
    <xf numFmtId="0" fontId="5" fillId="7" borderId="30" xfId="0" applyFont="1" applyFill="1" applyBorder="1" applyAlignment="1" applyProtection="1">
      <alignment vertical="center"/>
    </xf>
    <xf numFmtId="0" fontId="5" fillId="7" borderId="31" xfId="0" applyFont="1" applyFill="1" applyBorder="1" applyAlignment="1" applyProtection="1">
      <alignment vertical="center"/>
    </xf>
    <xf numFmtId="0" fontId="5" fillId="7" borderId="32" xfId="0" applyFont="1" applyFill="1" applyBorder="1" applyAlignment="1" applyProtection="1">
      <alignment vertical="center"/>
    </xf>
    <xf numFmtId="0" fontId="5" fillId="7" borderId="33" xfId="0" applyFont="1" applyFill="1" applyBorder="1" applyAlignment="1" applyProtection="1">
      <alignment vertical="center"/>
    </xf>
    <xf numFmtId="0" fontId="5" fillId="7" borderId="0" xfId="0" applyFont="1" applyFill="1" applyBorder="1" applyAlignment="1" applyProtection="1">
      <alignment vertical="center"/>
    </xf>
    <xf numFmtId="0" fontId="5" fillId="7" borderId="34" xfId="0" applyFont="1" applyFill="1" applyBorder="1" applyAlignment="1" applyProtection="1">
      <alignment vertical="center"/>
    </xf>
    <xf numFmtId="0" fontId="5" fillId="7" borderId="35" xfId="0" applyFont="1" applyFill="1" applyBorder="1" applyAlignment="1" applyProtection="1">
      <alignment vertical="center"/>
    </xf>
    <xf numFmtId="0" fontId="5" fillId="7" borderId="29" xfId="0" applyFont="1" applyFill="1" applyBorder="1" applyAlignment="1" applyProtection="1">
      <alignment vertical="center"/>
    </xf>
    <xf numFmtId="0" fontId="5" fillId="7" borderId="36" xfId="0" applyFont="1" applyFill="1" applyBorder="1" applyAlignment="1" applyProtection="1">
      <alignment vertical="center"/>
    </xf>
    <xf numFmtId="0" fontId="5" fillId="3" borderId="0" xfId="0" applyFont="1" applyFill="1" applyBorder="1" applyAlignment="1" applyProtection="1">
      <alignment vertical="center" wrapText="1"/>
    </xf>
    <xf numFmtId="0" fontId="5" fillId="7" borderId="37" xfId="0" applyFont="1" applyFill="1" applyBorder="1" applyAlignment="1" applyProtection="1">
      <alignment vertical="center"/>
    </xf>
    <xf numFmtId="0" fontId="5" fillId="7" borderId="38" xfId="0" applyFont="1" applyFill="1" applyBorder="1" applyAlignment="1" applyProtection="1">
      <alignment vertical="center"/>
    </xf>
    <xf numFmtId="187" fontId="13" fillId="3" borderId="8" xfId="0" applyNumberFormat="1" applyFont="1" applyFill="1" applyBorder="1" applyAlignment="1" applyProtection="1">
      <alignment vertical="center" shrinkToFit="1"/>
    </xf>
    <xf numFmtId="187" fontId="13" fillId="3" borderId="9" xfId="0" applyNumberFormat="1" applyFont="1" applyFill="1" applyBorder="1" applyAlignment="1" applyProtection="1">
      <alignment vertical="center" shrinkToFit="1"/>
    </xf>
    <xf numFmtId="164" fontId="5" fillId="7" borderId="32" xfId="0" applyNumberFormat="1" applyFont="1" applyFill="1" applyBorder="1" applyAlignment="1" applyProtection="1">
      <alignment horizontal="center" vertical="center"/>
    </xf>
    <xf numFmtId="164" fontId="5" fillId="7" borderId="34" xfId="0" applyNumberFormat="1" applyFont="1" applyFill="1" applyBorder="1" applyAlignment="1" applyProtection="1">
      <alignment horizontal="center" vertical="center"/>
    </xf>
    <xf numFmtId="164" fontId="5" fillId="7" borderId="36" xfId="0" applyNumberFormat="1" applyFont="1" applyFill="1" applyBorder="1" applyAlignment="1" applyProtection="1">
      <alignment horizontal="center" vertical="center"/>
    </xf>
    <xf numFmtId="9" fontId="5" fillId="3" borderId="12" xfId="0" applyNumberFormat="1" applyFont="1" applyFill="1" applyBorder="1" applyAlignment="1" applyProtection="1">
      <alignment horizontal="center" vertical="center"/>
    </xf>
    <xf numFmtId="0" fontId="13" fillId="3" borderId="39" xfId="0" applyFont="1" applyFill="1" applyBorder="1" applyAlignment="1" applyProtection="1">
      <alignment vertical="center" wrapText="1"/>
    </xf>
    <xf numFmtId="0" fontId="13" fillId="3" borderId="40" xfId="0" applyFont="1" applyFill="1" applyBorder="1" applyAlignment="1" applyProtection="1">
      <alignment vertical="center" wrapText="1"/>
    </xf>
    <xf numFmtId="164" fontId="5" fillId="3" borderId="14" xfId="0" applyNumberFormat="1" applyFont="1" applyFill="1" applyBorder="1" applyAlignment="1" applyProtection="1">
      <alignment horizontal="center" vertical="center"/>
    </xf>
    <xf numFmtId="191" fontId="5" fillId="3" borderId="12" xfId="0" applyNumberFormat="1" applyFont="1" applyFill="1" applyBorder="1" applyAlignment="1" applyProtection="1">
      <alignment horizontal="center" vertical="center"/>
    </xf>
    <xf numFmtId="164" fontId="5" fillId="3" borderId="26" xfId="0" applyNumberFormat="1" applyFont="1" applyFill="1" applyBorder="1" applyAlignment="1" applyProtection="1">
      <alignment horizontal="center" vertical="center"/>
    </xf>
    <xf numFmtId="191" fontId="5" fillId="3" borderId="27" xfId="0" applyNumberFormat="1" applyFont="1" applyFill="1" applyBorder="1" applyAlignment="1" applyProtection="1">
      <alignment horizontal="center" vertical="center"/>
    </xf>
    <xf numFmtId="0" fontId="0" fillId="0" borderId="0" xfId="0" applyFill="1" applyProtection="1">
      <protection locked="0"/>
    </xf>
    <xf numFmtId="0" fontId="15" fillId="0" borderId="0" xfId="0" applyFont="1" applyFill="1" applyProtection="1"/>
    <xf numFmtId="0" fontId="0" fillId="0" borderId="0" xfId="0" applyFill="1" applyProtection="1"/>
    <xf numFmtId="0" fontId="0" fillId="0" borderId="0" xfId="0" applyProtection="1"/>
    <xf numFmtId="0" fontId="15" fillId="8" borderId="30" xfId="0" applyFont="1" applyFill="1" applyBorder="1" applyProtection="1"/>
    <xf numFmtId="0" fontId="0" fillId="8" borderId="31" xfId="0" applyFill="1" applyBorder="1" applyProtection="1"/>
    <xf numFmtId="0" fontId="0" fillId="8" borderId="32" xfId="0" applyFill="1" applyBorder="1" applyProtection="1"/>
    <xf numFmtId="0" fontId="15" fillId="8" borderId="33" xfId="0" applyFont="1" applyFill="1" applyBorder="1" applyProtection="1"/>
    <xf numFmtId="0" fontId="4" fillId="0" borderId="0" xfId="0" applyFont="1" applyFill="1" applyBorder="1" applyProtection="1"/>
    <xf numFmtId="0" fontId="0" fillId="0" borderId="0" xfId="0" applyFill="1" applyBorder="1" applyProtection="1"/>
    <xf numFmtId="0" fontId="0" fillId="8" borderId="34" xfId="0" applyFill="1" applyBorder="1" applyProtection="1"/>
    <xf numFmtId="0" fontId="4" fillId="0" borderId="0" xfId="0" applyFont="1" applyFill="1" applyBorder="1" applyAlignment="1" applyProtection="1">
      <alignment vertical="center"/>
    </xf>
    <xf numFmtId="0" fontId="0" fillId="8" borderId="0" xfId="0" applyFill="1" applyBorder="1" applyProtection="1"/>
    <xf numFmtId="0" fontId="15" fillId="9" borderId="33" xfId="0" applyFont="1" applyFill="1" applyBorder="1" applyProtection="1"/>
    <xf numFmtId="0" fontId="0" fillId="9" borderId="0" xfId="0" applyFill="1" applyBorder="1" applyProtection="1"/>
    <xf numFmtId="0" fontId="0" fillId="9" borderId="34" xfId="0" applyFill="1" applyBorder="1" applyProtection="1"/>
    <xf numFmtId="0" fontId="0" fillId="9" borderId="0" xfId="0" applyFill="1" applyBorder="1" applyAlignment="1" applyProtection="1">
      <alignment horizontal="center"/>
    </xf>
    <xf numFmtId="0" fontId="26" fillId="9" borderId="0" xfId="0" applyFont="1" applyFill="1" applyBorder="1" applyProtection="1"/>
    <xf numFmtId="0" fontId="0" fillId="9" borderId="0" xfId="0" applyFill="1" applyBorder="1" applyAlignment="1" applyProtection="1"/>
    <xf numFmtId="0" fontId="15" fillId="9" borderId="41" xfId="0" applyFont="1" applyFill="1" applyBorder="1" applyProtection="1"/>
    <xf numFmtId="0" fontId="0" fillId="0" borderId="42" xfId="0" applyFill="1" applyBorder="1" applyProtection="1"/>
    <xf numFmtId="0" fontId="0" fillId="9" borderId="42" xfId="0" applyFill="1" applyBorder="1" applyAlignment="1" applyProtection="1">
      <alignment horizontal="center"/>
    </xf>
    <xf numFmtId="0" fontId="26" fillId="9" borderId="42" xfId="0" applyFont="1" applyFill="1" applyBorder="1" applyProtection="1"/>
    <xf numFmtId="0" fontId="0" fillId="9" borderId="42" xfId="0" applyFill="1" applyBorder="1" applyProtection="1"/>
    <xf numFmtId="0" fontId="0" fillId="9" borderId="43" xfId="0" applyFill="1" applyBorder="1" applyProtection="1"/>
    <xf numFmtId="0" fontId="4" fillId="0" borderId="0" xfId="0" applyFont="1" applyProtection="1"/>
    <xf numFmtId="0" fontId="4" fillId="9" borderId="0" xfId="0" applyFont="1" applyFill="1" applyBorder="1" applyProtection="1"/>
    <xf numFmtId="0" fontId="27" fillId="9" borderId="0" xfId="0" applyFont="1" applyFill="1" applyBorder="1" applyProtection="1"/>
    <xf numFmtId="0" fontId="4" fillId="9" borderId="34" xfId="0" applyFont="1" applyFill="1" applyBorder="1" applyProtection="1"/>
    <xf numFmtId="0" fontId="15" fillId="0" borderId="33" xfId="0" applyFont="1" applyBorder="1" applyProtection="1"/>
    <xf numFmtId="0" fontId="0" fillId="0" borderId="0" xfId="0" applyBorder="1" applyProtection="1"/>
    <xf numFmtId="0" fontId="0" fillId="0" borderId="34" xfId="0" applyBorder="1" applyProtection="1"/>
    <xf numFmtId="0" fontId="3" fillId="0" borderId="33" xfId="0" applyFont="1" applyBorder="1" applyAlignment="1" applyProtection="1">
      <alignment horizontal="left"/>
    </xf>
    <xf numFmtId="0" fontId="15" fillId="0" borderId="20" xfId="0" applyFont="1" applyBorder="1" applyProtection="1"/>
    <xf numFmtId="0" fontId="0" fillId="0" borderId="9" xfId="0" applyBorder="1" applyProtection="1"/>
    <xf numFmtId="0" fontId="0" fillId="0" borderId="11" xfId="0" applyBorder="1" applyProtection="1"/>
    <xf numFmtId="0" fontId="15" fillId="0" borderId="0" xfId="0" applyFont="1" applyProtection="1"/>
    <xf numFmtId="0" fontId="0" fillId="0" borderId="44" xfId="0" applyBorder="1" applyProtection="1"/>
    <xf numFmtId="0" fontId="14" fillId="0" borderId="39" xfId="0" applyFont="1" applyBorder="1" applyProtection="1"/>
    <xf numFmtId="0" fontId="0" fillId="0" borderId="39" xfId="0" applyBorder="1" applyProtection="1"/>
    <xf numFmtId="0" fontId="3" fillId="0" borderId="39" xfId="0" applyFont="1" applyBorder="1" applyAlignment="1" applyProtection="1">
      <alignment horizontal="right"/>
    </xf>
    <xf numFmtId="0" fontId="0" fillId="0" borderId="40" xfId="0" applyBorder="1" applyProtection="1"/>
    <xf numFmtId="0" fontId="0" fillId="0" borderId="45" xfId="0" applyBorder="1" applyProtection="1"/>
    <xf numFmtId="0" fontId="15" fillId="0" borderId="0" xfId="0" applyFont="1" applyBorder="1" applyProtection="1"/>
    <xf numFmtId="0" fontId="0" fillId="0" borderId="46" xfId="0" applyBorder="1" applyProtection="1"/>
    <xf numFmtId="0" fontId="4" fillId="0" borderId="45" xfId="0" applyFont="1" applyBorder="1" applyProtection="1"/>
    <xf numFmtId="0" fontId="14" fillId="0" borderId="0" xfId="0" applyFont="1" applyBorder="1" applyProtection="1"/>
    <xf numFmtId="0" fontId="4" fillId="0" borderId="0" xfId="0" applyFont="1" applyBorder="1" applyProtection="1"/>
    <xf numFmtId="0" fontId="4" fillId="0" borderId="0" xfId="0" applyFont="1" applyBorder="1" applyAlignment="1" applyProtection="1">
      <alignment horizontal="center"/>
    </xf>
    <xf numFmtId="0" fontId="4" fillId="0" borderId="46" xfId="0" applyFont="1" applyBorder="1" applyProtection="1"/>
    <xf numFmtId="0" fontId="21" fillId="0" borderId="30" xfId="0" applyFont="1" applyBorder="1" applyProtection="1"/>
    <xf numFmtId="0" fontId="0" fillId="0" borderId="31" xfId="0" applyBorder="1" applyProtection="1"/>
    <xf numFmtId="0" fontId="0" fillId="0" borderId="32" xfId="0" applyBorder="1" applyProtection="1"/>
    <xf numFmtId="0" fontId="0" fillId="0" borderId="0" xfId="0" applyBorder="1" applyAlignment="1" applyProtection="1">
      <alignment vertical="top"/>
    </xf>
    <xf numFmtId="0" fontId="19" fillId="0" borderId="20" xfId="0" applyFont="1" applyBorder="1" applyProtection="1"/>
    <xf numFmtId="0" fontId="19" fillId="0" borderId="0" xfId="0" applyFont="1" applyBorder="1" applyProtection="1"/>
    <xf numFmtId="0" fontId="0" fillId="0" borderId="0" xfId="0" applyBorder="1" applyAlignment="1" applyProtection="1">
      <alignment vertical="center"/>
    </xf>
    <xf numFmtId="0" fontId="0" fillId="0" borderId="47" xfId="0" applyBorder="1" applyProtection="1"/>
    <xf numFmtId="0" fontId="15" fillId="0" borderId="42" xfId="0" applyFont="1" applyBorder="1" applyProtection="1"/>
    <xf numFmtId="0" fontId="0" fillId="0" borderId="42" xfId="0" applyBorder="1" applyProtection="1"/>
    <xf numFmtId="0" fontId="0" fillId="0" borderId="42" xfId="0" applyBorder="1" applyAlignment="1" applyProtection="1">
      <alignment vertical="center"/>
    </xf>
    <xf numFmtId="0" fontId="0" fillId="0" borderId="48" xfId="0" applyBorder="1" applyProtection="1"/>
    <xf numFmtId="0" fontId="0" fillId="0" borderId="0" xfId="0" applyProtection="1">
      <protection locked="0"/>
    </xf>
    <xf numFmtId="0" fontId="15" fillId="0" borderId="39" xfId="0" applyFont="1" applyBorder="1" applyProtection="1"/>
    <xf numFmtId="192" fontId="28" fillId="0" borderId="42" xfId="0" applyNumberFormat="1" applyFont="1" applyBorder="1" applyAlignment="1" applyProtection="1"/>
    <xf numFmtId="2" fontId="19" fillId="0" borderId="0" xfId="0" applyNumberFormat="1" applyFont="1" applyBorder="1" applyProtection="1">
      <protection locked="0"/>
    </xf>
    <xf numFmtId="0" fontId="31" fillId="9" borderId="33" xfId="0" applyFont="1" applyFill="1" applyBorder="1" applyProtection="1"/>
    <xf numFmtId="0" fontId="5" fillId="3" borderId="0" xfId="0" applyFont="1" applyFill="1" applyBorder="1" applyAlignment="1" applyProtection="1">
      <alignment horizontal="center" vertical="center" shrinkToFit="1"/>
    </xf>
    <xf numFmtId="0" fontId="5" fillId="19" borderId="0" xfId="0" applyFont="1" applyFill="1" applyAlignment="1" applyProtection="1">
      <alignment vertical="center"/>
    </xf>
    <xf numFmtId="0" fontId="5" fillId="3" borderId="2" xfId="0" applyFont="1" applyFill="1" applyBorder="1" applyAlignment="1" applyProtection="1">
      <alignment horizontal="left" vertical="center"/>
    </xf>
    <xf numFmtId="0" fontId="5" fillId="3" borderId="0" xfId="0" applyFont="1" applyFill="1" applyBorder="1" applyAlignment="1" applyProtection="1">
      <alignment horizontal="left" vertical="center" shrinkToFit="1"/>
    </xf>
    <xf numFmtId="0" fontId="5" fillId="10" borderId="16" xfId="0" applyFont="1" applyFill="1" applyBorder="1" applyAlignment="1" applyProtection="1">
      <alignment horizontal="left" vertical="center" shrinkToFit="1"/>
    </xf>
    <xf numFmtId="165" fontId="5" fillId="3" borderId="3" xfId="0" applyNumberFormat="1" applyFont="1" applyFill="1" applyBorder="1" applyAlignment="1" applyProtection="1">
      <alignment horizontal="center"/>
    </xf>
    <xf numFmtId="165" fontId="5" fillId="3" borderId="21" xfId="0" applyNumberFormat="1" applyFont="1" applyFill="1" applyBorder="1" applyAlignment="1" applyProtection="1">
      <alignment horizontal="center"/>
    </xf>
    <xf numFmtId="165" fontId="5" fillId="3" borderId="15" xfId="0" applyNumberFormat="1" applyFont="1" applyFill="1" applyBorder="1" applyAlignment="1" applyProtection="1">
      <alignment horizontal="center"/>
    </xf>
    <xf numFmtId="0" fontId="15" fillId="4" borderId="49" xfId="0" applyFont="1" applyFill="1" applyBorder="1" applyAlignment="1" applyProtection="1">
      <alignment vertical="center"/>
    </xf>
    <xf numFmtId="0" fontId="15" fillId="4" borderId="50" xfId="0" applyFont="1" applyFill="1" applyBorder="1" applyAlignment="1" applyProtection="1">
      <alignment vertical="center"/>
    </xf>
    <xf numFmtId="0" fontId="15" fillId="19" borderId="51" xfId="0" applyFont="1" applyFill="1" applyBorder="1" applyAlignment="1" applyProtection="1">
      <alignment vertical="center"/>
    </xf>
    <xf numFmtId="0" fontId="15" fillId="19" borderId="52" xfId="0" applyFont="1" applyFill="1" applyBorder="1" applyAlignment="1" applyProtection="1">
      <alignment vertical="center"/>
    </xf>
    <xf numFmtId="0" fontId="15" fillId="4" borderId="53" xfId="0" applyFont="1" applyFill="1" applyBorder="1" applyAlignment="1" applyProtection="1">
      <alignment horizontal="center" vertical="center"/>
    </xf>
    <xf numFmtId="0" fontId="15" fillId="19" borderId="54" xfId="0" applyFont="1" applyFill="1" applyBorder="1" applyAlignment="1" applyProtection="1">
      <alignment vertical="center"/>
    </xf>
    <xf numFmtId="0" fontId="15" fillId="4" borderId="55" xfId="0" applyFont="1" applyFill="1" applyBorder="1" applyAlignment="1" applyProtection="1">
      <alignment horizontal="center" vertical="center"/>
    </xf>
    <xf numFmtId="0" fontId="15" fillId="19" borderId="56" xfId="0" applyFont="1" applyFill="1" applyBorder="1" applyAlignment="1" applyProtection="1">
      <alignment vertical="center"/>
    </xf>
    <xf numFmtId="0" fontId="15" fillId="4" borderId="57" xfId="0" applyFont="1" applyFill="1" applyBorder="1" applyAlignment="1" applyProtection="1">
      <alignment vertical="center"/>
    </xf>
    <xf numFmtId="0" fontId="15" fillId="19" borderId="14" xfId="0" applyFont="1" applyFill="1" applyBorder="1" applyAlignment="1" applyProtection="1">
      <alignment vertical="center"/>
    </xf>
    <xf numFmtId="0" fontId="15" fillId="19" borderId="58" xfId="0" applyFont="1" applyFill="1" applyBorder="1" applyAlignment="1" applyProtection="1">
      <alignment vertical="center"/>
    </xf>
    <xf numFmtId="0" fontId="15" fillId="19" borderId="12" xfId="0" applyFont="1" applyFill="1" applyBorder="1" applyAlignment="1" applyProtection="1">
      <alignment vertical="center"/>
    </xf>
    <xf numFmtId="0" fontId="15" fillId="19" borderId="14" xfId="0" applyFont="1" applyFill="1" applyBorder="1" applyAlignment="1" applyProtection="1">
      <alignment horizontal="left" vertical="center"/>
    </xf>
    <xf numFmtId="0" fontId="5" fillId="19" borderId="58" xfId="0" applyFont="1" applyFill="1" applyBorder="1" applyAlignment="1" applyProtection="1">
      <alignment vertical="center"/>
    </xf>
    <xf numFmtId="0" fontId="15" fillId="19" borderId="58" xfId="0" applyFont="1" applyFill="1" applyBorder="1" applyAlignment="1" applyProtection="1">
      <alignment horizontal="left" vertical="center"/>
    </xf>
    <xf numFmtId="193" fontId="0" fillId="9" borderId="0" xfId="0" applyNumberFormat="1" applyFill="1" applyBorder="1" applyAlignment="1" applyProtection="1"/>
    <xf numFmtId="193" fontId="0" fillId="9" borderId="0" xfId="0" applyNumberFormat="1" applyFill="1" applyBorder="1" applyProtection="1"/>
    <xf numFmtId="0" fontId="15" fillId="19" borderId="58" xfId="0" applyFont="1" applyFill="1" applyBorder="1" applyAlignment="1" applyProtection="1">
      <alignment horizontal="right" vertical="center"/>
    </xf>
    <xf numFmtId="2" fontId="15" fillId="19" borderId="14" xfId="0" applyNumberFormat="1" applyFont="1" applyFill="1" applyBorder="1" applyAlignment="1" applyProtection="1">
      <alignment horizontal="left" vertical="center"/>
    </xf>
    <xf numFmtId="0" fontId="15" fillId="20" borderId="0" xfId="0" applyFont="1" applyFill="1" applyAlignment="1" applyProtection="1">
      <alignment vertical="center"/>
    </xf>
    <xf numFmtId="0" fontId="15" fillId="20" borderId="0" xfId="0" applyFont="1" applyFill="1" applyAlignment="1" applyProtection="1">
      <alignment horizontal="right" vertical="center" shrinkToFit="1"/>
    </xf>
    <xf numFmtId="0" fontId="15" fillId="3" borderId="156" xfId="0" applyFont="1" applyFill="1" applyBorder="1" applyAlignment="1" applyProtection="1">
      <alignment vertical="center"/>
    </xf>
    <xf numFmtId="0" fontId="81" fillId="3" borderId="157" xfId="0" applyFont="1" applyFill="1" applyBorder="1" applyAlignment="1" applyProtection="1">
      <alignment vertical="center"/>
    </xf>
    <xf numFmtId="3" fontId="81" fillId="3" borderId="158" xfId="0" applyNumberFormat="1" applyFont="1" applyFill="1" applyBorder="1" applyAlignment="1" applyProtection="1">
      <alignment vertical="center"/>
    </xf>
    <xf numFmtId="165" fontId="15" fillId="20" borderId="59" xfId="0" applyNumberFormat="1" applyFont="1" applyFill="1" applyBorder="1" applyAlignment="1" applyProtection="1">
      <alignment vertical="center" shrinkToFit="1"/>
    </xf>
    <xf numFmtId="164" fontId="23" fillId="3" borderId="159" xfId="0" applyNumberFormat="1" applyFont="1" applyFill="1" applyBorder="1" applyAlignment="1" applyProtection="1">
      <alignment vertical="center" shrinkToFit="1"/>
    </xf>
    <xf numFmtId="3" fontId="23" fillId="3" borderId="159" xfId="0" applyNumberFormat="1" applyFont="1" applyFill="1" applyBorder="1" applyAlignment="1" applyProtection="1">
      <alignment vertical="center" shrinkToFit="1"/>
    </xf>
    <xf numFmtId="0" fontId="23" fillId="3" borderId="160" xfId="0" applyFont="1" applyFill="1" applyBorder="1" applyAlignment="1" applyProtection="1">
      <alignment horizontal="center" vertical="center" shrinkToFit="1"/>
    </xf>
    <xf numFmtId="186" fontId="14" fillId="20" borderId="0" xfId="0" applyNumberFormat="1" applyFont="1" applyFill="1" applyBorder="1" applyAlignment="1" applyProtection="1">
      <alignment horizontal="right" vertical="center" shrinkToFit="1"/>
    </xf>
    <xf numFmtId="0" fontId="4" fillId="20" borderId="0" xfId="0" applyFont="1" applyFill="1" applyAlignment="1" applyProtection="1">
      <alignment horizontal="right" vertical="center"/>
    </xf>
    <xf numFmtId="165" fontId="14" fillId="20" borderId="0" xfId="0" applyNumberFormat="1" applyFont="1" applyFill="1" applyAlignment="1" applyProtection="1">
      <alignment vertical="center" shrinkToFit="1"/>
    </xf>
    <xf numFmtId="0" fontId="5" fillId="20" borderId="60" xfId="0" applyFont="1" applyFill="1" applyBorder="1" applyAlignment="1" applyProtection="1">
      <alignment horizontal="center" vertical="center"/>
    </xf>
    <xf numFmtId="0" fontId="15" fillId="20" borderId="60" xfId="0" applyFont="1" applyFill="1" applyBorder="1" applyAlignment="1" applyProtection="1">
      <alignment horizontal="center" vertical="center" shrinkToFit="1"/>
    </xf>
    <xf numFmtId="0" fontId="5" fillId="20" borderId="60" xfId="0" applyFont="1" applyFill="1" applyBorder="1" applyAlignment="1" applyProtection="1">
      <alignment horizontal="center" vertical="center" shrinkToFit="1"/>
    </xf>
    <xf numFmtId="3" fontId="5" fillId="20" borderId="61" xfId="0" applyNumberFormat="1" applyFont="1" applyFill="1" applyBorder="1" applyAlignment="1" applyProtection="1">
      <alignment vertical="center"/>
    </xf>
    <xf numFmtId="0" fontId="5" fillId="20" borderId="33" xfId="0" applyFont="1" applyFill="1" applyBorder="1" applyAlignment="1" applyProtection="1">
      <alignment horizontal="center" vertical="center" shrinkToFit="1"/>
    </xf>
    <xf numFmtId="0" fontId="5" fillId="20" borderId="33" xfId="0" applyFont="1" applyFill="1" applyBorder="1" applyAlignment="1" applyProtection="1">
      <alignment horizontal="center" vertical="center"/>
    </xf>
    <xf numFmtId="0" fontId="17" fillId="3" borderId="161" xfId="0" applyFont="1" applyFill="1" applyBorder="1" applyAlignment="1" applyProtection="1">
      <alignment horizontal="center" vertical="center" shrinkToFit="1"/>
    </xf>
    <xf numFmtId="0" fontId="23" fillId="3" borderId="161" xfId="0" applyFont="1" applyFill="1" applyBorder="1" applyAlignment="1" applyProtection="1">
      <alignment horizontal="center" vertical="center" shrinkToFit="1"/>
    </xf>
    <xf numFmtId="3" fontId="4" fillId="20" borderId="60" xfId="0" applyNumberFormat="1" applyFont="1" applyFill="1" applyBorder="1" applyAlignment="1" applyProtection="1">
      <alignment vertical="center"/>
    </xf>
    <xf numFmtId="3" fontId="18" fillId="3" borderId="162" xfId="0" applyNumberFormat="1" applyFont="1" applyFill="1" applyBorder="1" applyAlignment="1" applyProtection="1">
      <alignment vertical="center" shrinkToFit="1"/>
    </xf>
    <xf numFmtId="0" fontId="15" fillId="3" borderId="163" xfId="0" applyFont="1" applyFill="1" applyBorder="1" applyAlignment="1" applyProtection="1">
      <alignment vertical="center"/>
    </xf>
    <xf numFmtId="0" fontId="15" fillId="19" borderId="0" xfId="0" applyFont="1" applyFill="1" applyAlignment="1" applyProtection="1">
      <alignment vertical="center"/>
    </xf>
    <xf numFmtId="0" fontId="5" fillId="19" borderId="0" xfId="0" applyFont="1" applyFill="1" applyAlignment="1" applyProtection="1">
      <alignment horizontal="right" vertical="center"/>
    </xf>
    <xf numFmtId="0" fontId="15" fillId="19" borderId="0" xfId="0" applyFont="1" applyFill="1" applyAlignment="1" applyProtection="1">
      <alignment vertical="center" shrinkToFit="1"/>
    </xf>
    <xf numFmtId="3" fontId="17" fillId="19" borderId="0" xfId="0" applyNumberFormat="1" applyFont="1" applyFill="1" applyAlignment="1" applyProtection="1">
      <alignment vertical="center"/>
    </xf>
    <xf numFmtId="164" fontId="23" fillId="19" borderId="0" xfId="0" applyNumberFormat="1" applyFont="1" applyFill="1" applyAlignment="1" applyProtection="1">
      <alignment vertical="center" shrinkToFit="1"/>
    </xf>
    <xf numFmtId="0" fontId="23" fillId="19" borderId="0" xfId="0" applyFont="1" applyFill="1" applyAlignment="1" applyProtection="1">
      <alignment vertical="center" shrinkToFit="1"/>
    </xf>
    <xf numFmtId="3" fontId="24" fillId="19" borderId="0" xfId="0" applyNumberFormat="1" applyFont="1" applyFill="1" applyAlignment="1" applyProtection="1">
      <alignment vertical="center"/>
    </xf>
    <xf numFmtId="164" fontId="25" fillId="19" borderId="0" xfId="0" applyNumberFormat="1" applyFont="1" applyFill="1" applyAlignment="1" applyProtection="1">
      <alignment vertical="center" shrinkToFit="1"/>
    </xf>
    <xf numFmtId="0" fontId="25" fillId="19" borderId="0" xfId="0" applyFont="1" applyFill="1" applyAlignment="1" applyProtection="1">
      <alignment vertical="center" shrinkToFit="1"/>
    </xf>
    <xf numFmtId="3" fontId="23" fillId="19" borderId="0" xfId="0" applyNumberFormat="1" applyFont="1" applyFill="1" applyAlignment="1" applyProtection="1">
      <alignment vertical="center" shrinkToFit="1"/>
    </xf>
    <xf numFmtId="0" fontId="17" fillId="3" borderId="164" xfId="0" applyFont="1" applyFill="1" applyBorder="1" applyAlignment="1" applyProtection="1">
      <alignment horizontal="center" vertical="center" shrinkToFit="1"/>
    </xf>
    <xf numFmtId="17" fontId="23" fillId="3" borderId="165" xfId="0" applyNumberFormat="1" applyFont="1" applyFill="1" applyBorder="1" applyAlignment="1" applyProtection="1">
      <alignment horizontal="center" vertical="center" shrinkToFit="1"/>
    </xf>
    <xf numFmtId="164" fontId="23" fillId="3" borderId="166" xfId="0" applyNumberFormat="1" applyFont="1" applyFill="1" applyBorder="1" applyAlignment="1" applyProtection="1">
      <alignment vertical="center" shrinkToFit="1"/>
    </xf>
    <xf numFmtId="3" fontId="18" fillId="3" borderId="167" xfId="0" applyNumberFormat="1" applyFont="1" applyFill="1" applyBorder="1" applyAlignment="1" applyProtection="1">
      <alignment vertical="center" shrinkToFit="1"/>
    </xf>
    <xf numFmtId="0" fontId="17" fillId="3" borderId="168" xfId="0" applyFont="1" applyFill="1" applyBorder="1" applyAlignment="1" applyProtection="1">
      <alignment horizontal="center" vertical="center" shrinkToFit="1"/>
    </xf>
    <xf numFmtId="17" fontId="23" fillId="3" borderId="169" xfId="0" applyNumberFormat="1" applyFont="1" applyFill="1" applyBorder="1" applyAlignment="1" applyProtection="1">
      <alignment horizontal="center" vertical="center" shrinkToFit="1"/>
    </xf>
    <xf numFmtId="164" fontId="23" fillId="3" borderId="170" xfId="0" applyNumberFormat="1" applyFont="1" applyFill="1" applyBorder="1" applyAlignment="1" applyProtection="1">
      <alignment vertical="center" shrinkToFit="1"/>
    </xf>
    <xf numFmtId="3" fontId="18" fillId="3" borderId="171" xfId="0" applyNumberFormat="1" applyFont="1" applyFill="1" applyBorder="1" applyAlignment="1" applyProtection="1">
      <alignment vertical="center" shrinkToFit="1"/>
    </xf>
    <xf numFmtId="3" fontId="18" fillId="3" borderId="172" xfId="0" applyNumberFormat="1" applyFont="1" applyFill="1" applyBorder="1" applyAlignment="1" applyProtection="1">
      <alignment vertical="center" shrinkToFit="1"/>
    </xf>
    <xf numFmtId="0" fontId="14" fillId="20" borderId="0" xfId="0" applyFont="1" applyFill="1" applyAlignment="1" applyProtection="1">
      <alignment vertical="center"/>
    </xf>
    <xf numFmtId="166" fontId="23" fillId="3" borderId="173" xfId="0" applyNumberFormat="1" applyFont="1" applyFill="1" applyBorder="1" applyAlignment="1" applyProtection="1">
      <alignment vertical="center" shrinkToFit="1"/>
    </xf>
    <xf numFmtId="187" fontId="5" fillId="21" borderId="33" xfId="0" applyNumberFormat="1" applyFont="1" applyFill="1" applyBorder="1" applyAlignment="1" applyProtection="1">
      <alignment horizontal="center" vertical="center" shrinkToFit="1"/>
    </xf>
    <xf numFmtId="203" fontId="5" fillId="20" borderId="33" xfId="0" applyNumberFormat="1" applyFont="1" applyFill="1" applyBorder="1" applyAlignment="1" applyProtection="1">
      <alignment horizontal="center" vertical="center" shrinkToFit="1"/>
    </xf>
    <xf numFmtId="0" fontId="5" fillId="19" borderId="174" xfId="0" applyFont="1" applyFill="1" applyBorder="1" applyAlignment="1" applyProtection="1">
      <alignment horizontal="right" vertical="center"/>
    </xf>
    <xf numFmtId="164" fontId="23" fillId="19" borderId="175" xfId="0" applyNumberFormat="1" applyFont="1" applyFill="1" applyBorder="1" applyAlignment="1" applyProtection="1">
      <alignment horizontal="right" vertical="center"/>
    </xf>
    <xf numFmtId="0" fontId="15" fillId="20" borderId="0" xfId="0" applyNumberFormat="1" applyFont="1" applyFill="1" applyAlignment="1" applyProtection="1">
      <alignment vertical="center"/>
    </xf>
    <xf numFmtId="0" fontId="23" fillId="3" borderId="176" xfId="0" applyFont="1" applyFill="1" applyBorder="1" applyAlignment="1" applyProtection="1">
      <alignment horizontal="center" vertical="center" shrinkToFit="1"/>
    </xf>
    <xf numFmtId="0" fontId="15" fillId="3" borderId="177" xfId="0" applyFont="1" applyFill="1" applyBorder="1" applyAlignment="1" applyProtection="1">
      <alignment vertical="center"/>
    </xf>
    <xf numFmtId="3" fontId="23" fillId="3" borderId="173" xfId="0" applyNumberFormat="1" applyFont="1" applyFill="1" applyBorder="1" applyAlignment="1" applyProtection="1">
      <alignment horizontal="center" vertical="center" shrinkToFit="1"/>
    </xf>
    <xf numFmtId="0" fontId="5" fillId="3" borderId="178" xfId="0" applyFont="1" applyFill="1" applyBorder="1" applyAlignment="1" applyProtection="1">
      <alignment vertical="center"/>
    </xf>
    <xf numFmtId="166" fontId="15" fillId="20" borderId="59" xfId="0" applyNumberFormat="1" applyFont="1" applyFill="1" applyBorder="1" applyAlignment="1" applyProtection="1">
      <alignment horizontal="right" vertical="center" shrinkToFit="1"/>
    </xf>
    <xf numFmtId="191" fontId="15" fillId="20" borderId="59" xfId="0" applyNumberFormat="1" applyFont="1" applyFill="1" applyBorder="1" applyAlignment="1" applyProtection="1">
      <alignment vertical="center" shrinkToFit="1"/>
    </xf>
    <xf numFmtId="191" fontId="15" fillId="20" borderId="59" xfId="0" applyNumberFormat="1" applyFont="1" applyFill="1" applyBorder="1" applyAlignment="1" applyProtection="1">
      <alignment horizontal="right" vertical="center" shrinkToFit="1"/>
    </xf>
    <xf numFmtId="0" fontId="17" fillId="19" borderId="0" xfId="2" applyFont="1" applyFill="1" applyAlignment="1" applyProtection="1">
      <alignment horizontal="center" vertical="center"/>
      <protection locked="0"/>
    </xf>
    <xf numFmtId="2" fontId="14" fillId="22" borderId="0" xfId="0" applyNumberFormat="1" applyFont="1" applyFill="1" applyBorder="1" applyAlignment="1" applyProtection="1">
      <alignment vertical="center"/>
    </xf>
    <xf numFmtId="2" fontId="15" fillId="22" borderId="0" xfId="0" applyNumberFormat="1" applyFont="1" applyFill="1" applyBorder="1" applyAlignment="1" applyProtection="1">
      <alignment vertical="center"/>
    </xf>
    <xf numFmtId="0" fontId="15" fillId="22" borderId="0" xfId="0" applyFont="1" applyFill="1" applyBorder="1" applyAlignment="1" applyProtection="1">
      <alignment vertical="center"/>
    </xf>
    <xf numFmtId="0" fontId="5" fillId="22" borderId="0" xfId="0" applyFont="1" applyFill="1" applyBorder="1" applyAlignment="1" applyProtection="1">
      <alignment vertical="center"/>
    </xf>
    <xf numFmtId="2" fontId="11" fillId="22" borderId="0" xfId="0" applyNumberFormat="1" applyFont="1" applyFill="1" applyBorder="1" applyAlignment="1" applyProtection="1">
      <alignment vertical="center"/>
    </xf>
    <xf numFmtId="0" fontId="3" fillId="22" borderId="0" xfId="0" applyFont="1" applyFill="1" applyBorder="1" applyAlignment="1" applyProtection="1">
      <alignment vertical="center"/>
    </xf>
    <xf numFmtId="2" fontId="3" fillId="22" borderId="0" xfId="0" applyNumberFormat="1" applyFont="1" applyFill="1" applyBorder="1" applyAlignment="1" applyProtection="1">
      <alignment horizontal="right" vertical="center"/>
    </xf>
    <xf numFmtId="2" fontId="13" fillId="22" borderId="0" xfId="0" applyNumberFormat="1" applyFont="1" applyFill="1" applyBorder="1" applyAlignment="1" applyProtection="1">
      <alignment vertical="center"/>
    </xf>
    <xf numFmtId="0" fontId="82" fillId="22" borderId="0" xfId="0" applyFont="1" applyFill="1" applyBorder="1" applyAlignment="1" applyProtection="1">
      <alignment vertical="center"/>
    </xf>
    <xf numFmtId="0" fontId="82" fillId="22" borderId="0" xfId="0" applyFont="1" applyFill="1" applyBorder="1" applyAlignment="1" applyProtection="1">
      <alignment horizontal="right" vertical="center"/>
    </xf>
    <xf numFmtId="2" fontId="15" fillId="22" borderId="0" xfId="0" applyNumberFormat="1" applyFont="1" applyFill="1" applyBorder="1" applyAlignment="1" applyProtection="1">
      <alignment horizontal="left" vertical="center"/>
    </xf>
    <xf numFmtId="0" fontId="5" fillId="19" borderId="0" xfId="2" applyFont="1" applyFill="1" applyBorder="1" applyAlignment="1" applyProtection="1">
      <alignment vertical="center"/>
    </xf>
    <xf numFmtId="0" fontId="15" fillId="19" borderId="54" xfId="0" applyFont="1" applyFill="1" applyBorder="1" applyAlignment="1" applyProtection="1">
      <alignment horizontal="center" vertical="center"/>
    </xf>
    <xf numFmtId="0" fontId="15" fillId="19" borderId="56" xfId="0" applyFont="1" applyFill="1" applyBorder="1" applyAlignment="1" applyProtection="1">
      <alignment horizontal="center" vertical="center"/>
    </xf>
    <xf numFmtId="0" fontId="8" fillId="0" borderId="0" xfId="0" applyFont="1"/>
    <xf numFmtId="0" fontId="5" fillId="19" borderId="0" xfId="0" applyFont="1" applyFill="1" applyAlignment="1" applyProtection="1">
      <alignment horizontal="center" vertical="center"/>
      <protection locked="0"/>
    </xf>
    <xf numFmtId="0" fontId="23" fillId="19" borderId="0" xfId="2" applyFont="1" applyFill="1" applyAlignment="1" applyProtection="1">
      <alignment vertical="center"/>
    </xf>
    <xf numFmtId="0" fontId="83" fillId="22" borderId="0" xfId="0" applyFont="1" applyFill="1" applyBorder="1" applyAlignment="1" applyProtection="1">
      <alignment horizontal="right" vertical="center"/>
    </xf>
    <xf numFmtId="0" fontId="84" fillId="22" borderId="0" xfId="0" applyFont="1" applyFill="1" applyBorder="1" applyAlignment="1" applyProtection="1">
      <alignment horizontal="right" vertical="center"/>
    </xf>
    <xf numFmtId="2" fontId="7" fillId="22" borderId="0" xfId="0" applyNumberFormat="1" applyFont="1" applyFill="1" applyBorder="1" applyAlignment="1" applyProtection="1">
      <alignment horizontal="right" vertical="center"/>
    </xf>
    <xf numFmtId="171" fontId="14" fillId="22" borderId="0" xfId="0" applyNumberFormat="1" applyFont="1" applyFill="1" applyBorder="1" applyAlignment="1" applyProtection="1">
      <alignment horizontal="right" vertical="center" shrinkToFit="1"/>
    </xf>
    <xf numFmtId="2" fontId="15" fillId="22" borderId="179" xfId="0" applyNumberFormat="1" applyFont="1" applyFill="1" applyBorder="1" applyAlignment="1" applyProtection="1">
      <alignment vertical="center"/>
    </xf>
    <xf numFmtId="171" fontId="15" fillId="22" borderId="0" xfId="0" applyNumberFormat="1" applyFont="1" applyFill="1" applyBorder="1" applyAlignment="1" applyProtection="1">
      <alignment horizontal="right" vertical="center" shrinkToFit="1"/>
    </xf>
    <xf numFmtId="0" fontId="5" fillId="19" borderId="0" xfId="2" applyFont="1" applyFill="1" applyAlignment="1" applyProtection="1">
      <alignment vertical="center"/>
    </xf>
    <xf numFmtId="0" fontId="5" fillId="19" borderId="0" xfId="2" applyFont="1" applyFill="1" applyBorder="1" applyAlignment="1" applyProtection="1">
      <alignment vertical="center" wrapText="1"/>
    </xf>
    <xf numFmtId="0" fontId="17" fillId="19" borderId="0" xfId="2" applyFont="1" applyFill="1" applyAlignment="1" applyProtection="1">
      <alignment vertical="center"/>
    </xf>
    <xf numFmtId="0" fontId="10" fillId="23" borderId="180" xfId="2" applyFont="1" applyFill="1" applyBorder="1" applyAlignment="1" applyProtection="1">
      <alignment horizontal="left" vertical="center"/>
    </xf>
    <xf numFmtId="2" fontId="85" fillId="22" borderId="0" xfId="0" applyNumberFormat="1" applyFont="1" applyFill="1" applyBorder="1" applyAlignment="1" applyProtection="1">
      <alignment horizontal="right" vertical="center"/>
    </xf>
    <xf numFmtId="0" fontId="10" fillId="23" borderId="181" xfId="2" applyFont="1" applyFill="1" applyBorder="1" applyAlignment="1" applyProtection="1">
      <alignment horizontal="left" vertical="center"/>
    </xf>
    <xf numFmtId="0" fontId="10" fillId="23" borderId="182" xfId="2" applyFont="1" applyFill="1" applyBorder="1" applyAlignment="1" applyProtection="1">
      <alignment horizontal="left" vertical="center"/>
    </xf>
    <xf numFmtId="0" fontId="5" fillId="23" borderId="182" xfId="2" applyFont="1" applyFill="1" applyBorder="1" applyAlignment="1" applyProtection="1">
      <alignment vertical="center"/>
    </xf>
    <xf numFmtId="0" fontId="5" fillId="23" borderId="183" xfId="2" applyFont="1" applyFill="1" applyBorder="1" applyAlignment="1" applyProtection="1">
      <alignment vertical="center"/>
    </xf>
    <xf numFmtId="171" fontId="11" fillId="22" borderId="184" xfId="0" applyNumberFormat="1" applyFont="1" applyFill="1" applyBorder="1" applyAlignment="1" applyProtection="1">
      <alignment vertical="center" shrinkToFit="1"/>
    </xf>
    <xf numFmtId="0" fontId="5" fillId="22" borderId="179" xfId="0" applyFont="1" applyFill="1" applyBorder="1" applyAlignment="1" applyProtection="1">
      <alignment vertical="center"/>
    </xf>
    <xf numFmtId="0" fontId="5" fillId="19" borderId="0" xfId="0" applyFont="1" applyFill="1" applyAlignment="1" applyProtection="1">
      <alignment horizontal="center" vertical="center"/>
    </xf>
    <xf numFmtId="0" fontId="5" fillId="0" borderId="0" xfId="0" applyFont="1" applyAlignment="1">
      <alignment horizontal="center"/>
    </xf>
    <xf numFmtId="165" fontId="0" fillId="0" borderId="0" xfId="0" applyNumberFormat="1" applyAlignment="1">
      <alignment horizontal="center"/>
    </xf>
    <xf numFmtId="3" fontId="0" fillId="0" borderId="0" xfId="0" applyNumberFormat="1" applyAlignment="1">
      <alignment horizontal="center"/>
    </xf>
    <xf numFmtId="4" fontId="0" fillId="0" borderId="0" xfId="0" applyNumberFormat="1" applyAlignment="1">
      <alignment horizontal="center"/>
    </xf>
    <xf numFmtId="4" fontId="4" fillId="0" borderId="0" xfId="0" applyNumberFormat="1" applyFont="1" applyAlignment="1">
      <alignment horizontal="center"/>
    </xf>
    <xf numFmtId="0" fontId="86" fillId="0" borderId="30" xfId="0" applyFont="1" applyBorder="1"/>
    <xf numFmtId="4" fontId="86" fillId="0" borderId="32" xfId="0" applyNumberFormat="1" applyFont="1" applyBorder="1" applyAlignment="1">
      <alignment horizontal="center"/>
    </xf>
    <xf numFmtId="0" fontId="0" fillId="0" borderId="33" xfId="0" applyBorder="1"/>
    <xf numFmtId="0" fontId="0" fillId="0" borderId="20" xfId="0" applyBorder="1"/>
    <xf numFmtId="4" fontId="86" fillId="0" borderId="34" xfId="0" applyNumberFormat="1" applyFont="1" applyBorder="1" applyAlignment="1">
      <alignment horizontal="center"/>
    </xf>
    <xf numFmtId="4" fontId="86" fillId="0" borderId="11" xfId="0" applyNumberFormat="1" applyFont="1" applyBorder="1" applyAlignment="1">
      <alignment horizontal="center"/>
    </xf>
    <xf numFmtId="0" fontId="6" fillId="24" borderId="184" xfId="0" applyFont="1" applyFill="1" applyBorder="1" applyAlignment="1" applyProtection="1">
      <alignment vertical="center"/>
    </xf>
    <xf numFmtId="0" fontId="87" fillId="0" borderId="0" xfId="0" applyFont="1" applyAlignment="1">
      <alignment horizontal="center"/>
    </xf>
    <xf numFmtId="4" fontId="87" fillId="0" borderId="63" xfId="0" applyNumberFormat="1" applyFont="1" applyBorder="1" applyAlignment="1">
      <alignment horizontal="center"/>
    </xf>
    <xf numFmtId="195" fontId="0" fillId="0" borderId="0" xfId="0" applyNumberFormat="1" applyAlignment="1"/>
    <xf numFmtId="0" fontId="0" fillId="0" borderId="0" xfId="0" applyAlignment="1"/>
    <xf numFmtId="166" fontId="0" fillId="0" borderId="0" xfId="0" applyNumberFormat="1" applyAlignment="1"/>
    <xf numFmtId="0" fontId="33" fillId="0" borderId="0" xfId="0" applyFont="1" applyAlignment="1">
      <alignment horizontal="center"/>
    </xf>
    <xf numFmtId="4" fontId="5" fillId="0" borderId="63" xfId="0" applyNumberFormat="1" applyFont="1" applyBorder="1" applyAlignment="1">
      <alignment horizontal="center"/>
    </xf>
    <xf numFmtId="0" fontId="88" fillId="0" borderId="0" xfId="0" applyFont="1" applyAlignment="1">
      <alignment horizontal="center"/>
    </xf>
    <xf numFmtId="0" fontId="89" fillId="0" borderId="0" xfId="0" applyFont="1" applyAlignment="1">
      <alignment horizontal="center"/>
    </xf>
    <xf numFmtId="4" fontId="89" fillId="0" borderId="63" xfId="0" applyNumberFormat="1" applyFont="1" applyBorder="1" applyAlignment="1">
      <alignment horizontal="center"/>
    </xf>
    <xf numFmtId="0" fontId="90" fillId="0" borderId="0" xfId="0" applyFont="1" applyAlignment="1">
      <alignment horizontal="center"/>
    </xf>
    <xf numFmtId="2" fontId="91" fillId="25" borderId="0" xfId="0" applyNumberFormat="1" applyFont="1" applyFill="1" applyBorder="1" applyAlignment="1" applyProtection="1">
      <alignment horizontal="center" vertical="center" textRotation="90"/>
    </xf>
    <xf numFmtId="2" fontId="91" fillId="25" borderId="179" xfId="0" applyNumberFormat="1" applyFont="1" applyFill="1" applyBorder="1" applyAlignment="1" applyProtection="1">
      <alignment horizontal="center" vertical="center" textRotation="90"/>
    </xf>
    <xf numFmtId="190" fontId="13" fillId="26" borderId="0" xfId="0" applyNumberFormat="1" applyFont="1" applyFill="1" applyBorder="1" applyAlignment="1" applyProtection="1">
      <alignment horizontal="center" vertical="center" shrinkToFit="1"/>
    </xf>
    <xf numFmtId="2" fontId="91" fillId="26" borderId="0" xfId="0" applyNumberFormat="1" applyFont="1" applyFill="1" applyBorder="1" applyAlignment="1" applyProtection="1">
      <alignment horizontal="center" vertical="center" textRotation="90"/>
    </xf>
    <xf numFmtId="2" fontId="11" fillId="26" borderId="0" xfId="0" applyNumberFormat="1" applyFont="1" applyFill="1" applyBorder="1" applyAlignment="1" applyProtection="1">
      <alignment vertical="top"/>
    </xf>
    <xf numFmtId="171" fontId="11" fillId="26" borderId="184" xfId="0" applyNumberFormat="1" applyFont="1" applyFill="1" applyBorder="1" applyAlignment="1" applyProtection="1">
      <alignment vertical="center" shrinkToFit="1"/>
    </xf>
    <xf numFmtId="2" fontId="11" fillId="26" borderId="0" xfId="0" applyNumberFormat="1" applyFont="1" applyFill="1" applyBorder="1" applyAlignment="1" applyProtection="1">
      <alignment vertical="center"/>
    </xf>
    <xf numFmtId="2" fontId="3" fillId="26" borderId="0" xfId="0" applyNumberFormat="1" applyFont="1" applyFill="1" applyBorder="1" applyAlignment="1" applyProtection="1">
      <alignment horizontal="left" vertical="center"/>
    </xf>
    <xf numFmtId="0" fontId="5" fillId="26" borderId="0" xfId="0" applyFont="1" applyFill="1" applyBorder="1" applyAlignment="1" applyProtection="1">
      <alignment vertical="center"/>
    </xf>
    <xf numFmtId="171" fontId="15" fillId="26" borderId="0" xfId="0" applyNumberFormat="1" applyFont="1" applyFill="1" applyBorder="1" applyAlignment="1" applyProtection="1">
      <alignment horizontal="right" vertical="center"/>
    </xf>
    <xf numFmtId="206" fontId="13" fillId="26" borderId="0" xfId="0" applyNumberFormat="1" applyFont="1" applyFill="1" applyBorder="1" applyAlignment="1" applyProtection="1">
      <alignment horizontal="right" vertical="center" indent="1" shrinkToFit="1"/>
    </xf>
    <xf numFmtId="190" fontId="92" fillId="26" borderId="185" xfId="0" applyNumberFormat="1" applyFont="1" applyFill="1" applyBorder="1" applyAlignment="1" applyProtection="1">
      <alignment horizontal="center" vertical="center" shrinkToFit="1"/>
    </xf>
    <xf numFmtId="206" fontId="13" fillId="26" borderId="185" xfId="0" applyNumberFormat="1" applyFont="1" applyFill="1" applyBorder="1" applyAlignment="1" applyProtection="1">
      <alignment horizontal="right" vertical="center" indent="1" shrinkToFit="1"/>
    </xf>
    <xf numFmtId="0" fontId="5" fillId="0" borderId="30" xfId="0" applyFont="1" applyBorder="1"/>
    <xf numFmtId="0" fontId="5" fillId="0" borderId="31" xfId="0" applyFont="1" applyBorder="1"/>
    <xf numFmtId="0" fontId="5" fillId="0" borderId="33" xfId="0" applyFont="1" applyBorder="1"/>
    <xf numFmtId="0" fontId="5" fillId="0" borderId="0" xfId="0" applyFont="1" applyBorder="1"/>
    <xf numFmtId="0" fontId="5" fillId="0" borderId="20" xfId="0" applyFont="1" applyBorder="1"/>
    <xf numFmtId="0" fontId="0" fillId="0" borderId="9" xfId="0" applyBorder="1"/>
    <xf numFmtId="190" fontId="93" fillId="25" borderId="64" xfId="0" applyNumberFormat="1" applyFont="1" applyFill="1" applyBorder="1" applyAlignment="1" applyProtection="1">
      <alignment horizontal="center" vertical="center" shrinkToFit="1"/>
    </xf>
    <xf numFmtId="190" fontId="81" fillId="25" borderId="64" xfId="0" applyNumberFormat="1" applyFont="1" applyFill="1" applyBorder="1" applyAlignment="1" applyProtection="1">
      <alignment horizontal="center" vertical="center" shrinkToFit="1"/>
    </xf>
    <xf numFmtId="4" fontId="90" fillId="0" borderId="14" xfId="0" applyNumberFormat="1" applyFont="1" applyBorder="1" applyAlignment="1">
      <alignment horizontal="center"/>
    </xf>
    <xf numFmtId="0" fontId="5" fillId="27" borderId="30" xfId="0" applyFont="1" applyFill="1" applyBorder="1" applyAlignment="1">
      <alignment horizontal="center"/>
    </xf>
    <xf numFmtId="0" fontId="5" fillId="27" borderId="31" xfId="0" applyFont="1" applyFill="1" applyBorder="1" applyAlignment="1">
      <alignment horizontal="center"/>
    </xf>
    <xf numFmtId="0" fontId="5" fillId="27" borderId="32" xfId="0" applyFont="1" applyFill="1" applyBorder="1" applyAlignment="1">
      <alignment horizontal="center"/>
    </xf>
    <xf numFmtId="0" fontId="5" fillId="27" borderId="33" xfId="0" applyFont="1" applyFill="1" applyBorder="1" applyAlignment="1">
      <alignment horizontal="center"/>
    </xf>
    <xf numFmtId="0" fontId="5" fillId="27" borderId="0" xfId="0" applyFont="1" applyFill="1" applyBorder="1" applyAlignment="1">
      <alignment horizontal="center"/>
    </xf>
    <xf numFmtId="0" fontId="5" fillId="27" borderId="34" xfId="0" applyFont="1" applyFill="1" applyBorder="1" applyAlignment="1">
      <alignment horizontal="center"/>
    </xf>
    <xf numFmtId="4" fontId="5" fillId="27" borderId="65" xfId="0" applyNumberFormat="1" applyFont="1" applyFill="1" applyBorder="1" applyAlignment="1">
      <alignment horizontal="center"/>
    </xf>
    <xf numFmtId="4" fontId="5" fillId="27" borderId="66" xfId="0" applyNumberFormat="1" applyFont="1" applyFill="1" applyBorder="1" applyAlignment="1">
      <alignment horizontal="center"/>
    </xf>
    <xf numFmtId="4" fontId="5" fillId="27" borderId="67" xfId="0" applyNumberFormat="1" applyFont="1" applyFill="1" applyBorder="1" applyAlignment="1">
      <alignment horizontal="center"/>
    </xf>
    <xf numFmtId="4" fontId="5" fillId="27" borderId="68" xfId="0" applyNumberFormat="1" applyFont="1" applyFill="1" applyBorder="1" applyAlignment="1">
      <alignment horizontal="center"/>
    </xf>
    <xf numFmtId="4" fontId="5" fillId="27" borderId="69" xfId="0" applyNumberFormat="1" applyFont="1" applyFill="1" applyBorder="1" applyAlignment="1">
      <alignment horizontal="center"/>
    </xf>
    <xf numFmtId="4" fontId="5" fillId="27" borderId="70" xfId="0" applyNumberFormat="1" applyFont="1" applyFill="1" applyBorder="1" applyAlignment="1">
      <alignment horizontal="center"/>
    </xf>
    <xf numFmtId="194" fontId="4" fillId="28" borderId="63" xfId="0" applyNumberFormat="1" applyFont="1" applyFill="1" applyBorder="1" applyAlignment="1" applyProtection="1">
      <alignment horizontal="center" vertical="center" shrinkToFit="1"/>
    </xf>
    <xf numFmtId="2" fontId="91" fillId="26" borderId="185" xfId="0" applyNumberFormat="1" applyFont="1" applyFill="1" applyBorder="1" applyAlignment="1" applyProtection="1">
      <alignment horizontal="center" vertical="center" textRotation="90"/>
    </xf>
    <xf numFmtId="2" fontId="11" fillId="26" borderId="0" xfId="0" applyNumberFormat="1" applyFont="1" applyFill="1" applyBorder="1" applyAlignment="1" applyProtection="1">
      <alignment horizontal="center" vertical="center"/>
    </xf>
    <xf numFmtId="0" fontId="5" fillId="19" borderId="0" xfId="0" applyFont="1" applyFill="1" applyAlignment="1" applyProtection="1">
      <alignment vertical="center"/>
      <protection locked="0"/>
    </xf>
    <xf numFmtId="0" fontId="5" fillId="19" borderId="0" xfId="0" applyFont="1" applyFill="1" applyAlignment="1" applyProtection="1">
      <alignment horizontal="center" vertical="center" shrinkToFit="1"/>
      <protection locked="0"/>
    </xf>
    <xf numFmtId="0" fontId="5" fillId="22" borderId="184" xfId="0" applyFont="1" applyFill="1" applyBorder="1" applyAlignment="1" applyProtection="1">
      <alignment vertical="center"/>
    </xf>
    <xf numFmtId="0" fontId="0" fillId="0" borderId="0" xfId="0" applyBorder="1"/>
    <xf numFmtId="0" fontId="17" fillId="22" borderId="179" xfId="2" applyFont="1" applyFill="1" applyBorder="1" applyAlignment="1" applyProtection="1">
      <alignment vertical="center"/>
    </xf>
    <xf numFmtId="0" fontId="81" fillId="3" borderId="0" xfId="0" applyFont="1" applyFill="1" applyBorder="1" applyAlignment="1" applyProtection="1">
      <alignment vertical="center"/>
    </xf>
    <xf numFmtId="3" fontId="81" fillId="3" borderId="0" xfId="0" applyNumberFormat="1" applyFont="1" applyFill="1" applyBorder="1" applyAlignment="1" applyProtection="1">
      <alignment vertical="center"/>
    </xf>
    <xf numFmtId="3" fontId="81" fillId="3" borderId="0" xfId="0" applyNumberFormat="1" applyFont="1" applyFill="1" applyBorder="1" applyAlignment="1" applyProtection="1">
      <alignment horizontal="center" vertical="center"/>
    </xf>
    <xf numFmtId="9" fontId="0" fillId="0" borderId="0" xfId="0" applyNumberFormat="1"/>
    <xf numFmtId="0" fontId="5" fillId="0" borderId="0" xfId="0" applyFont="1" applyAlignment="1">
      <alignment horizontal="right"/>
    </xf>
    <xf numFmtId="0" fontId="5" fillId="0" borderId="0" xfId="0" applyFont="1" applyAlignment="1">
      <alignment horizontal="right" shrinkToFit="1"/>
    </xf>
    <xf numFmtId="0" fontId="5" fillId="0" borderId="0" xfId="0" quotePrefix="1" applyFont="1" applyAlignment="1">
      <alignment horizontal="right" shrinkToFit="1"/>
    </xf>
    <xf numFmtId="9" fontId="0" fillId="0" borderId="63" xfId="0" applyNumberFormat="1" applyBorder="1"/>
    <xf numFmtId="171" fontId="0" fillId="0" borderId="63" xfId="0" applyNumberFormat="1" applyBorder="1" applyAlignment="1">
      <alignment horizontal="right" shrinkToFit="1"/>
    </xf>
    <xf numFmtId="208" fontId="0" fillId="0" borderId="63" xfId="0" applyNumberFormat="1" applyBorder="1"/>
    <xf numFmtId="209" fontId="0" fillId="0" borderId="63" xfId="0" applyNumberFormat="1" applyBorder="1" applyAlignment="1">
      <alignment horizontal="right" shrinkToFit="1"/>
    </xf>
    <xf numFmtId="0" fontId="0" fillId="8" borderId="0" xfId="0" applyFill="1" applyProtection="1"/>
    <xf numFmtId="3" fontId="0" fillId="12" borderId="33" xfId="0" applyNumberFormat="1" applyFill="1" applyBorder="1" applyProtection="1"/>
    <xf numFmtId="3" fontId="0" fillId="12" borderId="63" xfId="0" applyNumberFormat="1" applyFill="1" applyBorder="1" applyProtection="1"/>
    <xf numFmtId="0" fontId="0" fillId="12" borderId="34" xfId="0" applyFill="1" applyBorder="1" applyProtection="1"/>
    <xf numFmtId="181" fontId="0" fillId="8" borderId="0" xfId="0" applyNumberFormat="1" applyFill="1" applyAlignment="1" applyProtection="1">
      <alignment horizontal="center"/>
    </xf>
    <xf numFmtId="0" fontId="0" fillId="13" borderId="0" xfId="0" applyFill="1" applyAlignment="1" applyProtection="1">
      <alignment horizontal="center"/>
    </xf>
    <xf numFmtId="0" fontId="0" fillId="13" borderId="0" xfId="0" applyFill="1" applyProtection="1"/>
    <xf numFmtId="2" fontId="0" fillId="8" borderId="0" xfId="0" applyNumberFormat="1" applyFill="1" applyAlignment="1" applyProtection="1">
      <alignment horizontal="center"/>
    </xf>
    <xf numFmtId="3" fontId="0" fillId="13" borderId="33" xfId="0" applyNumberFormat="1" applyFill="1" applyBorder="1" applyAlignment="1" applyProtection="1">
      <alignment horizontal="center" shrinkToFit="1"/>
    </xf>
    <xf numFmtId="0" fontId="0" fillId="13" borderId="0" xfId="0" applyFill="1" applyBorder="1" applyProtection="1"/>
    <xf numFmtId="0" fontId="0" fillId="13" borderId="34" xfId="0" applyFill="1" applyBorder="1" applyProtection="1"/>
    <xf numFmtId="1" fontId="0" fillId="12" borderId="0" xfId="0" applyNumberFormat="1" applyFill="1" applyAlignment="1" applyProtection="1">
      <alignment horizontal="center"/>
    </xf>
    <xf numFmtId="164" fontId="0" fillId="13" borderId="0" xfId="0" applyNumberFormat="1" applyFill="1" applyAlignment="1" applyProtection="1">
      <alignment horizontal="center" shrinkToFit="1"/>
    </xf>
    <xf numFmtId="164" fontId="0" fillId="13" borderId="33" xfId="0" applyNumberFormat="1" applyFill="1" applyBorder="1" applyProtection="1"/>
    <xf numFmtId="164" fontId="0" fillId="13" borderId="0" xfId="0" applyNumberFormat="1" applyFill="1" applyBorder="1" applyAlignment="1" applyProtection="1">
      <alignment horizontal="center" shrinkToFit="1"/>
    </xf>
    <xf numFmtId="164" fontId="0" fillId="13" borderId="34" xfId="0" applyNumberFormat="1" applyFill="1" applyBorder="1" applyProtection="1"/>
    <xf numFmtId="0" fontId="5" fillId="26" borderId="184" xfId="0" applyFont="1" applyFill="1" applyBorder="1" applyAlignment="1" applyProtection="1">
      <alignment vertical="center"/>
    </xf>
    <xf numFmtId="0" fontId="17" fillId="26" borderId="0" xfId="2" applyFont="1" applyFill="1" applyBorder="1" applyAlignment="1" applyProtection="1">
      <alignment vertical="center"/>
    </xf>
    <xf numFmtId="0" fontId="5" fillId="26" borderId="0" xfId="2" applyFont="1" applyFill="1" applyBorder="1" applyAlignment="1" applyProtection="1">
      <alignment vertical="center"/>
    </xf>
    <xf numFmtId="0" fontId="17" fillId="26" borderId="0" xfId="2" applyFont="1" applyFill="1" applyBorder="1" applyAlignment="1" applyProtection="1"/>
    <xf numFmtId="0" fontId="5" fillId="0" borderId="14" xfId="0" applyFont="1" applyBorder="1"/>
    <xf numFmtId="0" fontId="0" fillId="0" borderId="58" xfId="0" applyBorder="1"/>
    <xf numFmtId="0" fontId="15" fillId="22" borderId="0" xfId="0" applyFont="1" applyFill="1" applyBorder="1" applyAlignment="1" applyProtection="1">
      <alignment horizontal="left" vertical="center"/>
    </xf>
    <xf numFmtId="0" fontId="3" fillId="22" borderId="0" xfId="0" applyFont="1" applyFill="1" applyBorder="1" applyAlignment="1" applyProtection="1">
      <alignment horizontal="left" vertical="center"/>
    </xf>
    <xf numFmtId="2" fontId="3" fillId="22" borderId="0" xfId="0" applyNumberFormat="1" applyFont="1" applyFill="1" applyBorder="1" applyAlignment="1" applyProtection="1">
      <alignment horizontal="left" vertical="center"/>
    </xf>
    <xf numFmtId="2" fontId="15" fillId="22" borderId="0" xfId="0" quotePrefix="1" applyNumberFormat="1" applyFont="1" applyFill="1" applyBorder="1" applyAlignment="1" applyProtection="1">
      <alignment horizontal="left" vertical="center"/>
    </xf>
    <xf numFmtId="171" fontId="15" fillId="22" borderId="0" xfId="0" applyNumberFormat="1" applyFont="1" applyFill="1" applyBorder="1" applyAlignment="1" applyProtection="1">
      <alignment vertical="center"/>
    </xf>
    <xf numFmtId="171" fontId="15" fillId="22" borderId="0" xfId="0" applyNumberFormat="1" applyFont="1" applyFill="1" applyBorder="1" applyAlignment="1" applyProtection="1">
      <alignment horizontal="right" vertical="center"/>
    </xf>
    <xf numFmtId="0" fontId="5" fillId="29" borderId="0" xfId="0" applyFont="1" applyFill="1" applyBorder="1" applyAlignment="1" applyProtection="1">
      <alignment vertical="center"/>
    </xf>
    <xf numFmtId="0" fontId="5" fillId="29" borderId="179" xfId="0" applyFont="1" applyFill="1" applyBorder="1" applyAlignment="1" applyProtection="1">
      <alignment vertical="center"/>
    </xf>
    <xf numFmtId="167" fontId="15" fillId="30" borderId="63" xfId="0" applyNumberFormat="1" applyFont="1" applyFill="1" applyBorder="1" applyAlignment="1" applyProtection="1">
      <alignment vertical="center"/>
      <protection locked="0"/>
    </xf>
    <xf numFmtId="0" fontId="15" fillId="31" borderId="14" xfId="0" applyFont="1" applyFill="1" applyBorder="1" applyAlignment="1" applyProtection="1">
      <alignment vertical="center"/>
    </xf>
    <xf numFmtId="0" fontId="15" fillId="31" borderId="58" xfId="0" applyFont="1" applyFill="1" applyBorder="1" applyAlignment="1" applyProtection="1">
      <alignment vertical="center"/>
    </xf>
    <xf numFmtId="1" fontId="87" fillId="19" borderId="0" xfId="2" applyNumberFormat="1" applyFont="1" applyFill="1" applyAlignment="1" applyProtection="1">
      <alignment horizontal="center" vertical="center"/>
      <protection locked="0"/>
    </xf>
    <xf numFmtId="3" fontId="0" fillId="21" borderId="11" xfId="0" applyNumberFormat="1" applyFill="1" applyBorder="1" applyAlignment="1">
      <alignment horizontal="right"/>
    </xf>
    <xf numFmtId="166" fontId="15" fillId="30" borderId="63" xfId="0" applyNumberFormat="1" applyFont="1" applyFill="1" applyBorder="1" applyAlignment="1" applyProtection="1">
      <alignment vertical="center"/>
      <protection locked="0"/>
    </xf>
    <xf numFmtId="0" fontId="6" fillId="24" borderId="0" xfId="0" applyFont="1" applyFill="1" applyBorder="1" applyAlignment="1" applyProtection="1">
      <alignment horizontal="right" vertical="center"/>
    </xf>
    <xf numFmtId="0" fontId="6" fillId="24" borderId="0" xfId="0" applyFont="1" applyFill="1" applyBorder="1" applyAlignment="1" applyProtection="1">
      <alignment vertical="center"/>
    </xf>
    <xf numFmtId="190" fontId="94" fillId="25" borderId="64" xfId="0" quotePrefix="1" applyNumberFormat="1" applyFont="1" applyFill="1" applyBorder="1" applyAlignment="1" applyProtection="1">
      <alignment vertical="center"/>
    </xf>
    <xf numFmtId="190" fontId="85" fillId="25" borderId="64" xfId="0" quotePrefix="1" applyNumberFormat="1" applyFont="1" applyFill="1" applyBorder="1" applyAlignment="1" applyProtection="1">
      <alignment vertical="center"/>
    </xf>
    <xf numFmtId="0" fontId="5" fillId="26" borderId="185" xfId="0" applyFont="1" applyFill="1" applyBorder="1" applyAlignment="1" applyProtection="1">
      <alignment vertical="center"/>
    </xf>
    <xf numFmtId="190" fontId="15" fillId="26" borderId="185" xfId="0" applyNumberFormat="1" applyFont="1" applyFill="1" applyBorder="1" applyAlignment="1" applyProtection="1">
      <alignment vertical="center"/>
    </xf>
    <xf numFmtId="2" fontId="11" fillId="26" borderId="185" xfId="0" applyNumberFormat="1" applyFont="1" applyFill="1" applyBorder="1" applyAlignment="1" applyProtection="1">
      <alignment horizontal="center" vertical="center"/>
    </xf>
    <xf numFmtId="2" fontId="6" fillId="26" borderId="185" xfId="0" applyNumberFormat="1" applyFont="1" applyFill="1" applyBorder="1" applyAlignment="1" applyProtection="1">
      <alignment vertical="center"/>
    </xf>
    <xf numFmtId="2" fontId="14" fillId="25" borderId="185" xfId="0" applyNumberFormat="1" applyFont="1" applyFill="1" applyBorder="1" applyAlignment="1" applyProtection="1">
      <alignment horizontal="right" vertical="center"/>
    </xf>
    <xf numFmtId="2" fontId="11" fillId="25" borderId="185" xfId="0" applyNumberFormat="1" applyFont="1" applyFill="1" applyBorder="1" applyAlignment="1" applyProtection="1">
      <alignment horizontal="center" vertical="center"/>
    </xf>
    <xf numFmtId="2" fontId="91" fillId="25" borderId="185" xfId="0" applyNumberFormat="1" applyFont="1" applyFill="1" applyBorder="1" applyAlignment="1" applyProtection="1">
      <alignment horizontal="center" vertical="center" textRotation="90"/>
    </xf>
    <xf numFmtId="2" fontId="91" fillId="25" borderId="186" xfId="0" applyNumberFormat="1" applyFont="1" applyFill="1" applyBorder="1" applyAlignment="1" applyProtection="1">
      <alignment horizontal="center" vertical="center" textRotation="90"/>
    </xf>
    <xf numFmtId="2" fontId="91" fillId="22" borderId="185" xfId="0" applyNumberFormat="1" applyFont="1" applyFill="1" applyBorder="1" applyAlignment="1" applyProtection="1">
      <alignment horizontal="center" vertical="center" textRotation="90"/>
    </xf>
    <xf numFmtId="0" fontId="3" fillId="22" borderId="185" xfId="0" applyFont="1" applyFill="1" applyBorder="1" applyAlignment="1" applyProtection="1">
      <alignment vertical="center"/>
    </xf>
    <xf numFmtId="0" fontId="3" fillId="22" borderId="184" xfId="0" applyFont="1" applyFill="1" applyBorder="1" applyAlignment="1" applyProtection="1">
      <alignment vertical="center"/>
    </xf>
    <xf numFmtId="0" fontId="5" fillId="22" borderId="185" xfId="0" applyFont="1" applyFill="1" applyBorder="1" applyAlignment="1" applyProtection="1">
      <alignment vertical="center"/>
    </xf>
    <xf numFmtId="0" fontId="5" fillId="22" borderId="186" xfId="0" applyFont="1" applyFill="1" applyBorder="1" applyAlignment="1" applyProtection="1">
      <alignment vertical="center"/>
    </xf>
    <xf numFmtId="0" fontId="5" fillId="22" borderId="187" xfId="0" applyFont="1" applyFill="1" applyBorder="1" applyAlignment="1" applyProtection="1">
      <alignment vertical="center"/>
    </xf>
    <xf numFmtId="2" fontId="4" fillId="22" borderId="0" xfId="0" applyNumberFormat="1" applyFont="1" applyFill="1" applyBorder="1" applyAlignment="1" applyProtection="1">
      <alignment vertical="center"/>
    </xf>
    <xf numFmtId="2" fontId="37" fillId="25" borderId="63" xfId="0" applyNumberFormat="1" applyFont="1" applyFill="1" applyBorder="1" applyAlignment="1" applyProtection="1">
      <alignment horizontal="left" vertical="center"/>
    </xf>
    <xf numFmtId="2" fontId="91" fillId="22" borderId="186" xfId="0" applyNumberFormat="1" applyFont="1" applyFill="1" applyBorder="1" applyAlignment="1" applyProtection="1">
      <alignment horizontal="center" vertical="center" textRotation="90"/>
    </xf>
    <xf numFmtId="190" fontId="92" fillId="26" borderId="0" xfId="0" applyNumberFormat="1" applyFont="1" applyFill="1" applyBorder="1" applyAlignment="1" applyProtection="1">
      <alignment horizontal="center" vertical="center" shrinkToFit="1"/>
    </xf>
    <xf numFmtId="190" fontId="15" fillId="26" borderId="0" xfId="0" applyNumberFormat="1" applyFont="1" applyFill="1" applyBorder="1" applyAlignment="1" applyProtection="1">
      <alignment vertical="center"/>
    </xf>
    <xf numFmtId="2" fontId="6" fillId="26" borderId="0" xfId="0" applyNumberFormat="1" applyFont="1" applyFill="1" applyBorder="1" applyAlignment="1" applyProtection="1">
      <alignment vertical="center"/>
    </xf>
    <xf numFmtId="2" fontId="14" fillId="25" borderId="0" xfId="0" applyNumberFormat="1" applyFont="1" applyFill="1" applyBorder="1" applyAlignment="1" applyProtection="1">
      <alignment horizontal="right" vertical="center"/>
    </xf>
    <xf numFmtId="2" fontId="11" fillId="25" borderId="0" xfId="0" applyNumberFormat="1" applyFont="1" applyFill="1" applyBorder="1" applyAlignment="1" applyProtection="1">
      <alignment horizontal="center" vertical="center"/>
    </xf>
    <xf numFmtId="0" fontId="84" fillId="22" borderId="0" xfId="0" applyFont="1" applyFill="1" applyBorder="1" applyAlignment="1" applyProtection="1">
      <alignment horizontal="left" vertical="center"/>
    </xf>
    <xf numFmtId="0" fontId="5" fillId="22" borderId="0" xfId="0" applyFont="1" applyFill="1" applyBorder="1" applyAlignment="1" applyProtection="1">
      <alignment horizontal="left" vertical="center"/>
    </xf>
    <xf numFmtId="0" fontId="82" fillId="22" borderId="0" xfId="0" applyFont="1" applyFill="1" applyBorder="1" applyAlignment="1" applyProtection="1">
      <alignment horizontal="left" vertical="center"/>
    </xf>
    <xf numFmtId="171" fontId="14" fillId="22" borderId="179" xfId="0" applyNumberFormat="1" applyFont="1" applyFill="1" applyBorder="1" applyAlignment="1" applyProtection="1">
      <alignment horizontal="right" vertical="center" shrinkToFit="1"/>
    </xf>
    <xf numFmtId="171" fontId="14" fillId="22" borderId="184" xfId="0" applyNumberFormat="1" applyFont="1" applyFill="1" applyBorder="1" applyAlignment="1" applyProtection="1">
      <alignment horizontal="right" vertical="center" shrinkToFit="1"/>
    </xf>
    <xf numFmtId="171" fontId="14" fillId="22" borderId="187" xfId="0" applyNumberFormat="1" applyFont="1" applyFill="1" applyBorder="1" applyAlignment="1" applyProtection="1">
      <alignment horizontal="right" vertical="center" shrinkToFit="1"/>
    </xf>
    <xf numFmtId="175" fontId="15" fillId="22" borderId="0" xfId="0" applyNumberFormat="1" applyFont="1" applyFill="1" applyBorder="1" applyAlignment="1" applyProtection="1">
      <alignment horizontal="right" vertical="center" shrinkToFit="1"/>
    </xf>
    <xf numFmtId="0" fontId="5" fillId="22" borderId="0" xfId="0" applyFont="1" applyFill="1" applyBorder="1" applyAlignment="1" applyProtection="1">
      <alignment horizontal="right" vertical="center"/>
    </xf>
    <xf numFmtId="0" fontId="87" fillId="19" borderId="0" xfId="0" applyFont="1" applyFill="1" applyAlignment="1" applyProtection="1">
      <alignment horizontal="center" vertical="center"/>
      <protection locked="0"/>
    </xf>
    <xf numFmtId="3" fontId="87" fillId="19" borderId="0" xfId="2" applyNumberFormat="1" applyFont="1" applyFill="1" applyAlignment="1" applyProtection="1">
      <alignment horizontal="center" vertical="center"/>
      <protection locked="0"/>
    </xf>
    <xf numFmtId="2" fontId="11" fillId="22" borderId="0" xfId="0" applyNumberFormat="1" applyFont="1" applyFill="1" applyBorder="1" applyAlignment="1" applyProtection="1">
      <alignment horizontal="left" vertical="center"/>
    </xf>
    <xf numFmtId="0" fontId="5" fillId="29" borderId="0" xfId="0" applyFont="1" applyFill="1" applyBorder="1" applyAlignment="1" applyProtection="1">
      <alignment horizontal="right" vertical="center"/>
    </xf>
    <xf numFmtId="0" fontId="7" fillId="22" borderId="0" xfId="0" applyFont="1" applyFill="1" applyBorder="1" applyAlignment="1" applyProtection="1">
      <alignment horizontal="left" vertical="center"/>
    </xf>
    <xf numFmtId="201" fontId="7" fillId="22" borderId="0" xfId="0" applyNumberFormat="1" applyFont="1" applyFill="1" applyBorder="1" applyAlignment="1" applyProtection="1">
      <alignment vertical="center" shrinkToFit="1"/>
    </xf>
    <xf numFmtId="0" fontId="7" fillId="22" borderId="0" xfId="0" applyFont="1" applyFill="1" applyBorder="1" applyAlignment="1" applyProtection="1">
      <alignment horizontal="right" vertical="center"/>
    </xf>
    <xf numFmtId="0" fontId="10" fillId="32" borderId="181" xfId="2" applyFont="1" applyFill="1" applyBorder="1" applyAlignment="1" applyProtection="1">
      <alignment horizontal="left" vertical="center"/>
    </xf>
    <xf numFmtId="0" fontId="10" fillId="32" borderId="182" xfId="2" applyFont="1" applyFill="1" applyBorder="1" applyAlignment="1" applyProtection="1">
      <alignment horizontal="left" vertical="center"/>
    </xf>
    <xf numFmtId="0" fontId="10" fillId="32" borderId="183" xfId="2" applyFont="1" applyFill="1" applyBorder="1" applyAlignment="1" applyProtection="1">
      <alignment horizontal="left" vertical="center"/>
    </xf>
    <xf numFmtId="0" fontId="5" fillId="29" borderId="185" xfId="0" applyFont="1" applyFill="1" applyBorder="1" applyAlignment="1" applyProtection="1">
      <alignment vertical="center"/>
    </xf>
    <xf numFmtId="0" fontId="5" fillId="29" borderId="184" xfId="0" applyFont="1" applyFill="1" applyBorder="1" applyAlignment="1" applyProtection="1">
      <alignment vertical="center"/>
    </xf>
    <xf numFmtId="0" fontId="5" fillId="29" borderId="186" xfId="0" applyFont="1" applyFill="1" applyBorder="1" applyAlignment="1" applyProtection="1">
      <alignment vertical="center"/>
    </xf>
    <xf numFmtId="0" fontId="5" fillId="29" borderId="187" xfId="0" applyFont="1" applyFill="1" applyBorder="1" applyAlignment="1" applyProtection="1">
      <alignment vertical="center"/>
    </xf>
    <xf numFmtId="0" fontId="10" fillId="23" borderId="188" xfId="2" applyFont="1" applyFill="1" applyBorder="1" applyAlignment="1" applyProtection="1">
      <alignment horizontal="left" vertical="center"/>
    </xf>
    <xf numFmtId="0" fontId="95" fillId="22" borderId="185" xfId="2" applyFont="1" applyFill="1" applyBorder="1" applyAlignment="1" applyProtection="1">
      <alignment horizontal="center"/>
    </xf>
    <xf numFmtId="0" fontId="96" fillId="22" borderId="185" xfId="2" applyFont="1" applyFill="1" applyBorder="1" applyAlignment="1" applyProtection="1">
      <alignment horizontal="left" vertical="center"/>
    </xf>
    <xf numFmtId="0" fontId="97" fillId="22" borderId="186" xfId="2" applyFont="1" applyFill="1" applyBorder="1" applyAlignment="1" applyProtection="1">
      <alignment horizontal="left" vertical="center"/>
    </xf>
    <xf numFmtId="0" fontId="97" fillId="22" borderId="185" xfId="2" applyFont="1" applyFill="1" applyBorder="1" applyAlignment="1" applyProtection="1">
      <alignment horizontal="left" vertical="center"/>
    </xf>
    <xf numFmtId="2" fontId="14" fillId="26" borderId="0" xfId="0" applyNumberFormat="1" applyFont="1" applyFill="1" applyBorder="1" applyAlignment="1" applyProtection="1">
      <alignment vertical="top"/>
    </xf>
    <xf numFmtId="168" fontId="15" fillId="22" borderId="184" xfId="0" applyNumberFormat="1" applyFont="1" applyFill="1" applyBorder="1" applyAlignment="1" applyProtection="1">
      <alignment vertical="center"/>
    </xf>
    <xf numFmtId="0" fontId="5" fillId="33" borderId="184" xfId="0" applyFont="1" applyFill="1" applyBorder="1" applyAlignment="1" applyProtection="1">
      <alignment vertical="center"/>
    </xf>
    <xf numFmtId="175" fontId="4" fillId="22" borderId="184" xfId="0" applyNumberFormat="1" applyFont="1" applyFill="1" applyBorder="1" applyAlignment="1" applyProtection="1">
      <alignment vertical="center" shrinkToFit="1"/>
    </xf>
    <xf numFmtId="0" fontId="23" fillId="22" borderId="184" xfId="2" applyFont="1" applyFill="1" applyBorder="1" applyAlignment="1" applyProtection="1">
      <alignment vertical="center"/>
    </xf>
    <xf numFmtId="0" fontId="5" fillId="29" borderId="179" xfId="0" applyFont="1" applyFill="1" applyBorder="1" applyAlignment="1" applyProtection="1">
      <alignment horizontal="right" vertical="center"/>
    </xf>
    <xf numFmtId="169" fontId="15" fillId="22" borderId="0" xfId="0" applyNumberFormat="1" applyFont="1" applyFill="1" applyBorder="1" applyAlignment="1" applyProtection="1">
      <alignment horizontal="left" vertical="center"/>
    </xf>
    <xf numFmtId="0" fontId="15" fillId="0" borderId="0" xfId="0" applyFont="1" applyAlignment="1" applyProtection="1">
      <alignment horizontal="center" vertical="center"/>
    </xf>
    <xf numFmtId="165" fontId="0" fillId="0" borderId="0" xfId="0" applyNumberFormat="1"/>
    <xf numFmtId="0" fontId="5" fillId="26" borderId="0" xfId="2" applyFont="1" applyFill="1" applyBorder="1" applyAlignment="1" applyProtection="1"/>
    <xf numFmtId="2" fontId="14" fillId="26" borderId="185" xfId="0" applyNumberFormat="1" applyFont="1" applyFill="1" applyBorder="1" applyAlignment="1" applyProtection="1">
      <alignment vertical="top"/>
    </xf>
    <xf numFmtId="0" fontId="17" fillId="26" borderId="186" xfId="2" applyFont="1" applyFill="1" applyBorder="1" applyAlignment="1" applyProtection="1"/>
    <xf numFmtId="0" fontId="17" fillId="26" borderId="179" xfId="2" applyFont="1" applyFill="1" applyBorder="1" applyAlignment="1" applyProtection="1"/>
    <xf numFmtId="0" fontId="5" fillId="26" borderId="187" xfId="0" applyFont="1" applyFill="1" applyBorder="1" applyAlignment="1" applyProtection="1">
      <alignment vertical="center"/>
    </xf>
    <xf numFmtId="0" fontId="17" fillId="22" borderId="185" xfId="2" applyFont="1" applyFill="1" applyBorder="1" applyAlignment="1" applyProtection="1">
      <alignment vertical="center"/>
    </xf>
    <xf numFmtId="0" fontId="17" fillId="22" borderId="184" xfId="2" applyFont="1" applyFill="1" applyBorder="1" applyAlignment="1" applyProtection="1">
      <alignment vertical="center"/>
    </xf>
    <xf numFmtId="2" fontId="3" fillId="22" borderId="0" xfId="0" applyNumberFormat="1" applyFont="1" applyFill="1" applyBorder="1" applyAlignment="1" applyProtection="1">
      <alignment horizontal="left" vertical="center" indent="1" shrinkToFit="1"/>
    </xf>
    <xf numFmtId="0" fontId="3" fillId="22" borderId="0" xfId="0" applyFont="1" applyFill="1" applyBorder="1" applyAlignment="1" applyProtection="1">
      <alignment horizontal="left" vertical="center" indent="1"/>
    </xf>
    <xf numFmtId="184" fontId="3" fillId="22" borderId="0" xfId="0" applyNumberFormat="1" applyFont="1" applyFill="1" applyBorder="1" applyAlignment="1" applyProtection="1">
      <alignment vertical="center" shrinkToFit="1"/>
    </xf>
    <xf numFmtId="175" fontId="3" fillId="22" borderId="0" xfId="0" applyNumberFormat="1" applyFont="1" applyFill="1" applyBorder="1" applyAlignment="1" applyProtection="1">
      <alignment horizontal="right" vertical="center"/>
    </xf>
    <xf numFmtId="0" fontId="3" fillId="22" borderId="0" xfId="2" applyFont="1" applyFill="1" applyBorder="1" applyAlignment="1" applyProtection="1">
      <alignment vertical="center"/>
    </xf>
    <xf numFmtId="196" fontId="3" fillId="22" borderId="0" xfId="0" applyNumberFormat="1" applyFont="1" applyFill="1" applyBorder="1" applyAlignment="1" applyProtection="1">
      <alignment vertical="center"/>
    </xf>
    <xf numFmtId="0" fontId="39" fillId="22" borderId="0" xfId="0" applyFont="1" applyFill="1" applyBorder="1" applyAlignment="1" applyProtection="1">
      <alignment vertical="center"/>
    </xf>
    <xf numFmtId="2" fontId="3" fillId="22" borderId="0" xfId="0" applyNumberFormat="1" applyFont="1" applyFill="1" applyBorder="1" applyAlignment="1" applyProtection="1">
      <alignment vertical="center" shrinkToFit="1"/>
    </xf>
    <xf numFmtId="0" fontId="3" fillId="22" borderId="0" xfId="2" applyFont="1" applyFill="1" applyBorder="1" applyAlignment="1" applyProtection="1">
      <alignment horizontal="left" vertical="center"/>
    </xf>
    <xf numFmtId="0" fontId="5" fillId="34" borderId="0" xfId="0" applyFont="1" applyFill="1" applyBorder="1" applyAlignment="1" applyProtection="1">
      <alignment vertical="center"/>
    </xf>
    <xf numFmtId="0" fontId="17" fillId="34" borderId="0" xfId="2" applyFont="1" applyFill="1" applyBorder="1" applyAlignment="1" applyProtection="1">
      <alignment vertical="center"/>
    </xf>
    <xf numFmtId="0" fontId="98" fillId="22" borderId="186" xfId="0" applyFont="1" applyFill="1" applyBorder="1" applyAlignment="1" applyProtection="1">
      <alignment vertical="center"/>
    </xf>
    <xf numFmtId="2" fontId="13" fillId="22" borderId="179" xfId="0" quotePrefix="1" applyNumberFormat="1" applyFont="1" applyFill="1" applyBorder="1" applyAlignment="1" applyProtection="1">
      <alignment vertical="center"/>
    </xf>
    <xf numFmtId="0" fontId="15" fillId="22" borderId="179" xfId="0" applyFont="1" applyFill="1" applyBorder="1" applyAlignment="1" applyProtection="1">
      <alignment vertical="center"/>
    </xf>
    <xf numFmtId="175" fontId="11" fillId="22" borderId="179" xfId="0" applyNumberFormat="1" applyFont="1" applyFill="1" applyBorder="1" applyAlignment="1" applyProtection="1">
      <alignment vertical="center"/>
    </xf>
    <xf numFmtId="0" fontId="4" fillId="26" borderId="185" xfId="0" applyFont="1" applyFill="1" applyBorder="1" applyAlignment="1" applyProtection="1">
      <alignment vertical="center" textRotation="90"/>
    </xf>
    <xf numFmtId="0" fontId="4" fillId="26" borderId="0" xfId="0" applyFont="1" applyFill="1" applyBorder="1" applyAlignment="1" applyProtection="1">
      <alignment vertical="center" textRotation="90"/>
    </xf>
    <xf numFmtId="0" fontId="5" fillId="34" borderId="0" xfId="2" applyFont="1" applyFill="1" applyBorder="1" applyAlignment="1" applyProtection="1"/>
    <xf numFmtId="0" fontId="5" fillId="19" borderId="0" xfId="0" applyFont="1" applyFill="1" applyBorder="1" applyAlignment="1" applyProtection="1">
      <alignment vertical="center"/>
    </xf>
    <xf numFmtId="0" fontId="3" fillId="22" borderId="185" xfId="0" applyFont="1" applyFill="1" applyBorder="1" applyAlignment="1" applyProtection="1">
      <alignment vertical="center" textRotation="90" wrapText="1"/>
    </xf>
    <xf numFmtId="0" fontId="3" fillId="22" borderId="185" xfId="0" applyFont="1" applyFill="1" applyBorder="1" applyAlignment="1" applyProtection="1">
      <alignment vertical="center" textRotation="90"/>
    </xf>
    <xf numFmtId="0" fontId="5" fillId="26" borderId="0" xfId="2" applyFont="1" applyFill="1" applyBorder="1" applyAlignment="1" applyProtection="1">
      <alignment horizontal="center"/>
    </xf>
    <xf numFmtId="0" fontId="99" fillId="22" borderId="0" xfId="0" applyFont="1" applyFill="1" applyBorder="1" applyAlignment="1" applyProtection="1">
      <alignment horizontal="right" vertical="center"/>
    </xf>
    <xf numFmtId="0" fontId="5" fillId="26" borderId="0" xfId="0" applyFont="1" applyFill="1" applyBorder="1" applyAlignment="1" applyProtection="1">
      <alignment horizontal="center" vertical="center"/>
    </xf>
    <xf numFmtId="215" fontId="20" fillId="6" borderId="20" xfId="0" applyNumberFormat="1" applyFont="1" applyFill="1" applyBorder="1" applyAlignment="1" applyProtection="1">
      <alignment horizontal="center" vertical="center" shrinkToFit="1"/>
    </xf>
    <xf numFmtId="216" fontId="20" fillId="6" borderId="20" xfId="0" applyNumberFormat="1" applyFont="1" applyFill="1" applyBorder="1" applyAlignment="1" applyProtection="1">
      <alignment horizontal="center" vertical="center" shrinkToFit="1"/>
    </xf>
    <xf numFmtId="164" fontId="5" fillId="21" borderId="7" xfId="0" applyNumberFormat="1" applyFont="1" applyFill="1" applyBorder="1" applyAlignment="1" applyProtection="1">
      <alignment horizontal="center" vertical="center"/>
      <protection locked="0"/>
    </xf>
    <xf numFmtId="0" fontId="5" fillId="23" borderId="0" xfId="0" applyFont="1" applyFill="1" applyAlignment="1" applyProtection="1">
      <alignment vertical="center"/>
    </xf>
    <xf numFmtId="0" fontId="5" fillId="23" borderId="0" xfId="0" applyFont="1" applyFill="1" applyAlignment="1" applyProtection="1">
      <alignment horizontal="center" vertical="center"/>
    </xf>
    <xf numFmtId="0" fontId="5" fillId="23" borderId="189" xfId="0" applyFont="1" applyFill="1" applyBorder="1" applyAlignment="1" applyProtection="1">
      <alignment vertical="center"/>
    </xf>
    <xf numFmtId="0" fontId="5" fillId="30" borderId="190" xfId="2" applyFont="1" applyFill="1" applyBorder="1" applyAlignment="1" applyProtection="1">
      <alignment vertical="center"/>
    </xf>
    <xf numFmtId="0" fontId="100" fillId="23" borderId="0" xfId="0" applyFont="1" applyFill="1" applyBorder="1" applyAlignment="1" applyProtection="1">
      <alignment vertical="center" wrapText="1"/>
    </xf>
    <xf numFmtId="0" fontId="101" fillId="21" borderId="191" xfId="2" applyFont="1" applyFill="1" applyBorder="1" applyAlignment="1" applyProtection="1">
      <alignment vertical="top" wrapText="1"/>
    </xf>
    <xf numFmtId="0" fontId="101" fillId="21" borderId="192" xfId="2" applyFont="1" applyFill="1" applyBorder="1" applyAlignment="1" applyProtection="1">
      <alignment vertical="top" wrapText="1"/>
    </xf>
    <xf numFmtId="3" fontId="15" fillId="21" borderId="0" xfId="0" applyNumberFormat="1" applyFont="1" applyFill="1" applyBorder="1" applyAlignment="1" applyProtection="1">
      <alignment horizontal="right" vertical="center"/>
      <protection locked="0"/>
    </xf>
    <xf numFmtId="0" fontId="5" fillId="23" borderId="181" xfId="2" applyFont="1" applyFill="1" applyBorder="1" applyAlignment="1" applyProtection="1">
      <alignment vertical="center"/>
    </xf>
    <xf numFmtId="0" fontId="3" fillId="22" borderId="186" xfId="0" applyFont="1" applyFill="1" applyBorder="1" applyAlignment="1" applyProtection="1">
      <alignment vertical="center"/>
    </xf>
    <xf numFmtId="0" fontId="3" fillId="22" borderId="179" xfId="0" applyFont="1" applyFill="1" applyBorder="1" applyAlignment="1" applyProtection="1">
      <alignment vertical="center"/>
    </xf>
    <xf numFmtId="0" fontId="3" fillId="22" borderId="187" xfId="0" applyFont="1" applyFill="1" applyBorder="1" applyAlignment="1" applyProtection="1">
      <alignment vertical="center"/>
    </xf>
    <xf numFmtId="2" fontId="15" fillId="22" borderId="0" xfId="0" applyNumberFormat="1" applyFont="1" applyFill="1" applyBorder="1" applyAlignment="1" applyProtection="1">
      <alignment horizontal="left" vertical="center"/>
    </xf>
    <xf numFmtId="0" fontId="5" fillId="26" borderId="185" xfId="2" applyFont="1" applyFill="1" applyBorder="1" applyAlignment="1" applyProtection="1">
      <alignment vertical="center"/>
    </xf>
    <xf numFmtId="0" fontId="5" fillId="26" borderId="184" xfId="2" applyFont="1" applyFill="1" applyBorder="1" applyAlignment="1" applyProtection="1">
      <alignment vertical="center"/>
    </xf>
    <xf numFmtId="0" fontId="6" fillId="35" borderId="179" xfId="0" applyFont="1" applyFill="1" applyBorder="1" applyAlignment="1" applyProtection="1">
      <alignment vertical="center"/>
    </xf>
    <xf numFmtId="0" fontId="102" fillId="36" borderId="0" xfId="0" applyFont="1" applyFill="1" applyBorder="1" applyAlignment="1" applyProtection="1">
      <alignment vertical="center"/>
    </xf>
    <xf numFmtId="0" fontId="103" fillId="36" borderId="186" xfId="0" applyFont="1" applyFill="1" applyBorder="1" applyAlignment="1" applyProtection="1">
      <alignment vertical="center"/>
    </xf>
    <xf numFmtId="0" fontId="103" fillId="36" borderId="179" xfId="0" applyFont="1" applyFill="1" applyBorder="1" applyAlignment="1" applyProtection="1">
      <alignment vertical="center"/>
    </xf>
    <xf numFmtId="0" fontId="10" fillId="37" borderId="0" xfId="2" applyFont="1" applyFill="1" applyAlignment="1" applyProtection="1">
      <alignment horizontal="left" vertical="center"/>
    </xf>
    <xf numFmtId="0" fontId="5" fillId="37" borderId="0" xfId="2" applyFont="1" applyFill="1" applyAlignment="1" applyProtection="1">
      <alignment vertical="center"/>
    </xf>
    <xf numFmtId="2" fontId="91" fillId="22" borderId="185" xfId="0" applyNumberFormat="1" applyFont="1" applyFill="1" applyBorder="1" applyAlignment="1" applyProtection="1">
      <alignment vertical="center" textRotation="90"/>
    </xf>
    <xf numFmtId="2" fontId="91" fillId="22" borderId="0" xfId="0" applyNumberFormat="1" applyFont="1" applyFill="1" applyBorder="1" applyAlignment="1" applyProtection="1">
      <alignment vertical="center" textRotation="90"/>
    </xf>
    <xf numFmtId="2" fontId="91" fillId="22" borderId="184" xfId="0" applyNumberFormat="1" applyFont="1" applyFill="1" applyBorder="1" applyAlignment="1" applyProtection="1">
      <alignment vertical="center" textRotation="90"/>
    </xf>
    <xf numFmtId="2" fontId="91" fillId="22" borderId="186" xfId="0" applyNumberFormat="1" applyFont="1" applyFill="1" applyBorder="1" applyAlignment="1" applyProtection="1">
      <alignment vertical="center" textRotation="90"/>
    </xf>
    <xf numFmtId="2" fontId="91" fillId="22" borderId="179" xfId="0" applyNumberFormat="1" applyFont="1" applyFill="1" applyBorder="1" applyAlignment="1" applyProtection="1">
      <alignment vertical="center" textRotation="90"/>
    </xf>
    <xf numFmtId="2" fontId="91" fillId="22" borderId="187" xfId="0" applyNumberFormat="1" applyFont="1" applyFill="1" applyBorder="1" applyAlignment="1" applyProtection="1">
      <alignment vertical="center" textRotation="90"/>
    </xf>
    <xf numFmtId="168" fontId="6" fillId="38" borderId="0" xfId="0" applyNumberFormat="1" applyFont="1" applyFill="1" applyBorder="1" applyAlignment="1" applyProtection="1">
      <alignment vertical="center"/>
    </xf>
    <xf numFmtId="2" fontId="97" fillId="22" borderId="0" xfId="0" applyNumberFormat="1" applyFont="1" applyFill="1" applyBorder="1" applyAlignment="1" applyProtection="1">
      <alignment vertical="center" textRotation="90"/>
    </xf>
    <xf numFmtId="0" fontId="15" fillId="22" borderId="0" xfId="0" applyFont="1" applyFill="1" applyBorder="1" applyAlignment="1" applyProtection="1">
      <alignment horizontal="left" vertical="center" indent="1"/>
    </xf>
    <xf numFmtId="2" fontId="91" fillId="22" borderId="0" xfId="0" applyNumberFormat="1" applyFont="1" applyFill="1" applyBorder="1" applyAlignment="1" applyProtection="1">
      <alignment horizontal="left" vertical="center" indent="1"/>
    </xf>
    <xf numFmtId="2" fontId="15" fillId="22" borderId="0" xfId="0" quotePrefix="1" applyNumberFormat="1" applyFont="1" applyFill="1" applyBorder="1" applyAlignment="1" applyProtection="1">
      <alignment horizontal="left" vertical="center" indent="1"/>
    </xf>
    <xf numFmtId="2" fontId="15" fillId="22" borderId="0" xfId="0" applyNumberFormat="1" applyFont="1" applyFill="1" applyBorder="1" applyAlignment="1" applyProtection="1">
      <alignment horizontal="left" vertical="center" indent="1"/>
    </xf>
    <xf numFmtId="2" fontId="11" fillId="22" borderId="0" xfId="0" applyNumberFormat="1" applyFont="1" applyFill="1" applyBorder="1" applyAlignment="1" applyProtection="1">
      <alignment horizontal="left" vertical="center" indent="1"/>
    </xf>
    <xf numFmtId="0" fontId="3" fillId="24" borderId="0" xfId="0" applyFont="1" applyFill="1" applyBorder="1" applyAlignment="1" applyProtection="1">
      <alignment horizontal="right" vertical="center"/>
    </xf>
    <xf numFmtId="2" fontId="91" fillId="22" borderId="0" xfId="0" applyNumberFormat="1" applyFont="1" applyFill="1" applyBorder="1" applyAlignment="1" applyProtection="1">
      <alignment horizontal="left" vertical="center"/>
    </xf>
    <xf numFmtId="196" fontId="15" fillId="22" borderId="0" xfId="0" applyNumberFormat="1" applyFont="1" applyFill="1" applyBorder="1" applyAlignment="1" applyProtection="1">
      <alignment horizontal="right" vertical="center"/>
    </xf>
    <xf numFmtId="2" fontId="97" fillId="22" borderId="179" xfId="0" applyNumberFormat="1" applyFont="1" applyFill="1" applyBorder="1" applyAlignment="1" applyProtection="1">
      <alignment vertical="center" textRotation="90"/>
    </xf>
    <xf numFmtId="0" fontId="83" fillId="22" borderId="0" xfId="0" applyFont="1" applyFill="1" applyBorder="1" applyAlignment="1" applyProtection="1">
      <alignment horizontal="left" vertical="center" indent="1"/>
    </xf>
    <xf numFmtId="165" fontId="4" fillId="21" borderId="0" xfId="0" applyNumberFormat="1" applyFont="1" applyFill="1" applyBorder="1" applyAlignment="1" applyProtection="1">
      <alignment horizontal="center" vertical="center"/>
      <protection locked="0"/>
    </xf>
    <xf numFmtId="196" fontId="15" fillId="22" borderId="0" xfId="0" applyNumberFormat="1" applyFont="1" applyFill="1" applyBorder="1" applyAlignment="1" applyProtection="1">
      <alignment horizontal="right" vertical="center" shrinkToFit="1"/>
    </xf>
    <xf numFmtId="2" fontId="15" fillId="22" borderId="0" xfId="0" applyNumberFormat="1" applyFont="1" applyFill="1" applyBorder="1" applyAlignment="1" applyProtection="1">
      <alignment horizontal="left" vertical="center"/>
    </xf>
    <xf numFmtId="2" fontId="4" fillId="22" borderId="0" xfId="0" quotePrefix="1" applyNumberFormat="1" applyFont="1" applyFill="1" applyBorder="1" applyAlignment="1" applyProtection="1">
      <alignment horizontal="left" vertical="center"/>
    </xf>
    <xf numFmtId="171" fontId="15" fillId="19" borderId="14" xfId="0" applyNumberFormat="1" applyFont="1" applyFill="1" applyBorder="1" applyAlignment="1" applyProtection="1">
      <alignment horizontal="right" vertical="center" indent="1" shrinkToFit="1"/>
    </xf>
    <xf numFmtId="171" fontId="15" fillId="19" borderId="12" xfId="0" applyNumberFormat="1" applyFont="1" applyFill="1" applyBorder="1" applyAlignment="1" applyProtection="1">
      <alignment horizontal="right" vertical="center" indent="1" shrinkToFit="1"/>
    </xf>
    <xf numFmtId="0" fontId="4" fillId="24" borderId="0" xfId="0" applyFont="1" applyFill="1" applyBorder="1" applyAlignment="1" applyProtection="1">
      <alignment vertical="center"/>
    </xf>
    <xf numFmtId="0" fontId="4" fillId="24" borderId="0" xfId="0" applyFont="1" applyFill="1" applyBorder="1" applyAlignment="1" applyProtection="1">
      <alignment horizontal="right" vertical="center"/>
    </xf>
    <xf numFmtId="0" fontId="4" fillId="24" borderId="184" xfId="0" applyFont="1" applyFill="1" applyBorder="1" applyAlignment="1" applyProtection="1">
      <alignment vertical="center"/>
    </xf>
    <xf numFmtId="168" fontId="4" fillId="24" borderId="0" xfId="0" applyNumberFormat="1" applyFont="1" applyFill="1" applyBorder="1" applyAlignment="1" applyProtection="1">
      <alignment vertical="center"/>
    </xf>
    <xf numFmtId="0" fontId="5" fillId="39" borderId="0" xfId="0" applyFont="1" applyFill="1" applyAlignment="1" applyProtection="1">
      <alignment vertical="center"/>
    </xf>
    <xf numFmtId="0" fontId="17" fillId="39" borderId="0" xfId="2" applyFont="1" applyFill="1" applyAlignment="1" applyProtection="1">
      <alignment vertical="center"/>
    </xf>
    <xf numFmtId="0" fontId="5" fillId="39" borderId="0" xfId="2" applyFont="1" applyFill="1" applyAlignment="1" applyProtection="1">
      <alignment vertical="center"/>
    </xf>
    <xf numFmtId="0" fontId="10" fillId="39" borderId="0" xfId="2" applyFont="1" applyFill="1" applyAlignment="1" applyProtection="1">
      <alignment horizontal="left" vertical="center"/>
    </xf>
    <xf numFmtId="0" fontId="104" fillId="39" borderId="0" xfId="2" applyFont="1" applyFill="1" applyAlignment="1" applyProtection="1">
      <alignment vertical="center"/>
    </xf>
    <xf numFmtId="0" fontId="105" fillId="39" borderId="0" xfId="0" applyFont="1" applyFill="1" applyAlignment="1" applyProtection="1">
      <alignment vertical="center"/>
    </xf>
    <xf numFmtId="0" fontId="105" fillId="39" borderId="0" xfId="2" applyFont="1" applyFill="1" applyAlignment="1" applyProtection="1">
      <alignment vertical="center"/>
    </xf>
    <xf numFmtId="0" fontId="101" fillId="39" borderId="0" xfId="2" applyFont="1" applyFill="1" applyAlignment="1" applyProtection="1">
      <alignment horizontal="left" vertical="center"/>
    </xf>
    <xf numFmtId="0" fontId="5" fillId="39" borderId="0" xfId="0" applyFont="1" applyFill="1" applyAlignment="1" applyProtection="1">
      <alignment vertical="center"/>
      <protection locked="0"/>
    </xf>
    <xf numFmtId="0" fontId="5" fillId="39" borderId="0" xfId="0" applyFont="1" applyFill="1" applyAlignment="1" applyProtection="1">
      <alignment horizontal="center" vertical="center"/>
    </xf>
    <xf numFmtId="0" fontId="104" fillId="39" borderId="193" xfId="2" applyFont="1" applyFill="1" applyBorder="1" applyAlignment="1" applyProtection="1">
      <alignment horizontal="left" vertical="center"/>
    </xf>
    <xf numFmtId="0" fontId="104" fillId="39" borderId="0" xfId="2" applyFont="1" applyFill="1" applyBorder="1" applyAlignment="1" applyProtection="1">
      <alignment horizontal="left" vertical="center"/>
    </xf>
    <xf numFmtId="0" fontId="101" fillId="39" borderId="194" xfId="2" applyFont="1" applyFill="1" applyBorder="1" applyAlignment="1" applyProtection="1">
      <alignment horizontal="left" vertical="center"/>
    </xf>
    <xf numFmtId="0" fontId="103" fillId="36" borderId="185" xfId="0" applyFont="1" applyFill="1" applyBorder="1" applyAlignment="1" applyProtection="1">
      <alignment vertical="center"/>
    </xf>
    <xf numFmtId="0" fontId="103" fillId="36" borderId="0" xfId="0" applyFont="1" applyFill="1" applyBorder="1" applyAlignment="1" applyProtection="1">
      <alignment vertical="center"/>
    </xf>
    <xf numFmtId="0" fontId="5" fillId="23" borderId="0" xfId="0" applyFont="1" applyFill="1" applyBorder="1" applyAlignment="1" applyProtection="1">
      <alignment vertical="center"/>
    </xf>
    <xf numFmtId="0" fontId="103" fillId="35" borderId="0" xfId="0" applyFont="1" applyFill="1" applyBorder="1" applyAlignment="1" applyProtection="1">
      <alignment vertical="center"/>
    </xf>
    <xf numFmtId="0" fontId="5" fillId="23" borderId="179" xfId="0" applyFont="1" applyFill="1" applyBorder="1" applyAlignment="1" applyProtection="1">
      <alignment vertical="center"/>
    </xf>
    <xf numFmtId="2" fontId="11" fillId="22" borderId="0" xfId="0" applyNumberFormat="1" applyFont="1" applyFill="1" applyBorder="1" applyAlignment="1" applyProtection="1">
      <alignment horizontal="left" vertical="center" indent="1"/>
    </xf>
    <xf numFmtId="202" fontId="5" fillId="22" borderId="190" xfId="0" applyNumberFormat="1" applyFont="1" applyFill="1" applyBorder="1" applyAlignment="1" applyProtection="1">
      <alignment horizontal="left" vertical="center"/>
    </xf>
    <xf numFmtId="2" fontId="5" fillId="22" borderId="0" xfId="0" applyNumberFormat="1" applyFont="1" applyFill="1" applyBorder="1" applyAlignment="1" applyProtection="1">
      <alignment vertical="center"/>
    </xf>
    <xf numFmtId="212" fontId="4" fillId="22" borderId="0" xfId="0" applyNumberFormat="1" applyFont="1" applyFill="1" applyBorder="1" applyAlignment="1" applyProtection="1">
      <alignment vertical="center"/>
    </xf>
    <xf numFmtId="2" fontId="11" fillId="22" borderId="185" xfId="0" applyNumberFormat="1" applyFont="1" applyFill="1" applyBorder="1" applyAlignment="1" applyProtection="1">
      <alignment vertical="center"/>
    </xf>
    <xf numFmtId="0" fontId="6" fillId="38" borderId="185" xfId="0" applyFont="1" applyFill="1" applyBorder="1" applyAlignment="1" applyProtection="1">
      <alignment horizontal="left" vertical="center"/>
    </xf>
    <xf numFmtId="0" fontId="6" fillId="38" borderId="0" xfId="0" applyFont="1" applyFill="1" applyBorder="1" applyAlignment="1" applyProtection="1">
      <alignment horizontal="left" vertical="center"/>
    </xf>
    <xf numFmtId="0" fontId="6" fillId="38" borderId="184" xfId="0" applyFont="1" applyFill="1" applyBorder="1" applyAlignment="1" applyProtection="1">
      <alignment horizontal="left" vertical="center"/>
    </xf>
    <xf numFmtId="0" fontId="5" fillId="22" borderId="195" xfId="0" applyFont="1" applyFill="1" applyBorder="1" applyAlignment="1" applyProtection="1">
      <alignment vertical="center"/>
    </xf>
    <xf numFmtId="0" fontId="5" fillId="22" borderId="196" xfId="0" applyFont="1" applyFill="1" applyBorder="1" applyAlignment="1" applyProtection="1">
      <alignment vertical="center"/>
    </xf>
    <xf numFmtId="0" fontId="5" fillId="22" borderId="197" xfId="0" applyFont="1" applyFill="1" applyBorder="1" applyAlignment="1" applyProtection="1">
      <alignment vertical="center"/>
    </xf>
    <xf numFmtId="0" fontId="4" fillId="40" borderId="184" xfId="0" applyFont="1" applyFill="1" applyBorder="1" applyAlignment="1" applyProtection="1">
      <alignment vertical="center"/>
    </xf>
    <xf numFmtId="168" fontId="4" fillId="40" borderId="0" xfId="0" applyNumberFormat="1" applyFont="1" applyFill="1" applyBorder="1" applyAlignment="1" applyProtection="1">
      <alignment vertical="center"/>
    </xf>
    <xf numFmtId="4" fontId="15" fillId="19" borderId="0" xfId="2" applyNumberFormat="1" applyFont="1" applyFill="1" applyAlignment="1" applyProtection="1">
      <alignment horizontal="center" vertical="center"/>
    </xf>
    <xf numFmtId="0" fontId="6" fillId="40" borderId="0" xfId="0" applyFont="1" applyFill="1" applyBorder="1" applyAlignment="1" applyProtection="1">
      <alignment vertical="center"/>
    </xf>
    <xf numFmtId="0" fontId="5" fillId="29" borderId="198" xfId="0" applyFont="1" applyFill="1" applyBorder="1" applyAlignment="1" applyProtection="1">
      <alignment vertical="center"/>
    </xf>
    <xf numFmtId="0" fontId="10" fillId="41" borderId="181" xfId="2" applyFont="1" applyFill="1" applyBorder="1" applyAlignment="1" applyProtection="1">
      <alignment horizontal="left" vertical="center"/>
    </xf>
    <xf numFmtId="0" fontId="10" fillId="41" borderId="182" xfId="2" applyFont="1" applyFill="1" applyBorder="1" applyAlignment="1" applyProtection="1">
      <alignment horizontal="left" vertical="center"/>
    </xf>
    <xf numFmtId="0" fontId="5" fillId="41" borderId="182" xfId="2" applyFont="1" applyFill="1" applyBorder="1" applyAlignment="1" applyProtection="1">
      <alignment vertical="center"/>
    </xf>
    <xf numFmtId="0" fontId="5" fillId="41" borderId="183" xfId="2" applyFont="1" applyFill="1" applyBorder="1" applyAlignment="1" applyProtection="1">
      <alignment vertical="center"/>
    </xf>
    <xf numFmtId="0" fontId="6" fillId="40" borderId="184" xfId="0" applyFont="1" applyFill="1" applyBorder="1" applyAlignment="1" applyProtection="1">
      <alignment vertical="center"/>
    </xf>
    <xf numFmtId="0" fontId="98" fillId="29" borderId="185" xfId="2" applyFont="1" applyFill="1" applyBorder="1" applyAlignment="1" applyProtection="1">
      <alignment vertical="center"/>
    </xf>
    <xf numFmtId="0" fontId="98" fillId="29" borderId="184" xfId="2" applyFont="1" applyFill="1" applyBorder="1" applyAlignment="1" applyProtection="1">
      <alignment vertical="center"/>
    </xf>
    <xf numFmtId="2" fontId="14" fillId="29" borderId="185" xfId="0" applyNumberFormat="1" applyFont="1" applyFill="1" applyBorder="1" applyAlignment="1" applyProtection="1">
      <alignment vertical="top"/>
    </xf>
    <xf numFmtId="2" fontId="106" fillId="22" borderId="179" xfId="0" applyNumberFormat="1" applyFont="1" applyFill="1" applyBorder="1" applyAlignment="1" applyProtection="1">
      <alignment vertical="center"/>
    </xf>
    <xf numFmtId="0" fontId="23" fillId="33" borderId="181" xfId="2" applyFont="1" applyFill="1" applyBorder="1" applyAlignment="1" applyProtection="1">
      <alignment vertical="center"/>
    </xf>
    <xf numFmtId="0" fontId="23" fillId="33" borderId="182" xfId="2" applyFont="1" applyFill="1" applyBorder="1" applyAlignment="1" applyProtection="1">
      <alignment vertical="center"/>
    </xf>
    <xf numFmtId="0" fontId="23" fillId="33" borderId="183" xfId="2" applyFont="1" applyFill="1" applyBorder="1" applyAlignment="1" applyProtection="1">
      <alignment vertical="center"/>
    </xf>
    <xf numFmtId="0" fontId="23" fillId="19" borderId="0" xfId="2" applyFont="1" applyFill="1" applyBorder="1" applyAlignment="1" applyProtection="1">
      <alignment vertical="center"/>
    </xf>
    <xf numFmtId="0" fontId="23" fillId="33" borderId="185" xfId="2" applyFont="1" applyFill="1" applyBorder="1" applyAlignment="1" applyProtection="1">
      <alignment vertical="center"/>
    </xf>
    <xf numFmtId="0" fontId="23" fillId="33" borderId="184" xfId="2" applyFont="1" applyFill="1" applyBorder="1" applyAlignment="1" applyProtection="1">
      <alignment vertical="center"/>
    </xf>
    <xf numFmtId="0" fontId="23" fillId="33" borderId="186" xfId="2" applyFont="1" applyFill="1" applyBorder="1" applyAlignment="1" applyProtection="1">
      <alignment vertical="center"/>
    </xf>
    <xf numFmtId="0" fontId="23" fillId="33" borderId="179" xfId="2" applyFont="1" applyFill="1" applyBorder="1" applyAlignment="1" applyProtection="1">
      <alignment vertical="center"/>
    </xf>
    <xf numFmtId="0" fontId="23" fillId="33" borderId="187" xfId="2" applyFont="1" applyFill="1" applyBorder="1" applyAlignment="1" applyProtection="1">
      <alignment vertical="center"/>
    </xf>
    <xf numFmtId="0" fontId="97" fillId="23" borderId="0" xfId="0" applyFont="1" applyFill="1" applyAlignment="1" applyProtection="1">
      <alignment horizontal="center" vertical="center" wrapText="1"/>
    </xf>
    <xf numFmtId="0" fontId="0" fillId="19" borderId="0" xfId="0" applyFill="1" applyProtection="1"/>
    <xf numFmtId="0" fontId="4" fillId="19" borderId="0" xfId="0" applyFont="1" applyFill="1" applyProtection="1"/>
    <xf numFmtId="0" fontId="5" fillId="19" borderId="0" xfId="0" applyFont="1" applyFill="1" applyAlignment="1" applyProtection="1">
      <alignment horizontal="right"/>
    </xf>
    <xf numFmtId="0" fontId="0" fillId="42" borderId="63" xfId="0" applyFill="1" applyBorder="1" applyProtection="1"/>
    <xf numFmtId="0" fontId="0" fillId="19" borderId="174" xfId="0" applyFill="1" applyBorder="1" applyProtection="1"/>
    <xf numFmtId="0" fontId="107" fillId="19" borderId="161" xfId="0" applyFont="1" applyFill="1" applyBorder="1" applyAlignment="1" applyProtection="1">
      <alignment horizontal="center"/>
    </xf>
    <xf numFmtId="0" fontId="33" fillId="43" borderId="63" xfId="0" applyFont="1" applyFill="1" applyBorder="1" applyAlignment="1" applyProtection="1">
      <alignment horizontal="center" vertical="center"/>
    </xf>
    <xf numFmtId="0" fontId="107" fillId="19" borderId="169" xfId="0" applyFont="1" applyFill="1" applyBorder="1" applyAlignment="1" applyProtection="1">
      <alignment horizontal="center"/>
    </xf>
    <xf numFmtId="0" fontId="107" fillId="19" borderId="0" xfId="0" applyFont="1" applyFill="1" applyAlignment="1" applyProtection="1">
      <alignment horizontal="center"/>
    </xf>
    <xf numFmtId="2" fontId="0" fillId="44" borderId="199" xfId="0" applyNumberFormat="1" applyFill="1" applyBorder="1" applyAlignment="1" applyProtection="1">
      <alignment horizontal="center"/>
    </xf>
    <xf numFmtId="0" fontId="107" fillId="19" borderId="165" xfId="0" applyFont="1" applyFill="1" applyBorder="1" applyAlignment="1" applyProtection="1">
      <alignment horizontal="center"/>
    </xf>
    <xf numFmtId="0" fontId="107" fillId="19" borderId="160" xfId="0" applyFont="1" applyFill="1" applyBorder="1" applyAlignment="1" applyProtection="1">
      <alignment horizontal="center"/>
    </xf>
    <xf numFmtId="1" fontId="15" fillId="42" borderId="63" xfId="0" applyNumberFormat="1" applyFont="1" applyFill="1" applyBorder="1" applyAlignment="1" applyProtection="1">
      <alignment vertical="center"/>
    </xf>
    <xf numFmtId="0" fontId="0" fillId="0" borderId="157" xfId="0" applyBorder="1" applyProtection="1"/>
    <xf numFmtId="0" fontId="0" fillId="19" borderId="0" xfId="0" applyFill="1" applyAlignment="1" applyProtection="1">
      <alignment vertical="center"/>
    </xf>
    <xf numFmtId="165" fontId="87" fillId="19" borderId="163" xfId="0" applyNumberFormat="1" applyFont="1" applyFill="1" applyBorder="1" applyAlignment="1" applyProtection="1">
      <alignment horizontal="center" vertical="center"/>
    </xf>
    <xf numFmtId="0" fontId="5" fillId="19" borderId="0" xfId="0" quotePrefix="1" applyFont="1" applyFill="1" applyAlignment="1" applyProtection="1">
      <alignment vertical="center"/>
    </xf>
    <xf numFmtId="9" fontId="108" fillId="19" borderId="63" xfId="0" applyNumberFormat="1" applyFont="1" applyFill="1" applyBorder="1" applyAlignment="1" applyProtection="1">
      <alignment horizontal="center"/>
    </xf>
    <xf numFmtId="9" fontId="108" fillId="19" borderId="0" xfId="0" applyNumberFormat="1" applyFont="1" applyFill="1" applyBorder="1" applyAlignment="1" applyProtection="1">
      <alignment horizontal="center"/>
    </xf>
    <xf numFmtId="186" fontId="0" fillId="19" borderId="0" xfId="0" applyNumberFormat="1" applyFill="1" applyProtection="1"/>
    <xf numFmtId="210" fontId="15" fillId="19" borderId="63" xfId="0" applyNumberFormat="1" applyFont="1" applyFill="1" applyBorder="1" applyAlignment="1" applyProtection="1">
      <alignment horizontal="center" vertical="center"/>
    </xf>
    <xf numFmtId="189" fontId="15" fillId="42" borderId="63" xfId="0" applyNumberFormat="1" applyFont="1" applyFill="1" applyBorder="1" applyAlignment="1" applyProtection="1">
      <alignment horizontal="center" vertical="center"/>
    </xf>
    <xf numFmtId="211" fontId="5" fillId="0" borderId="0" xfId="0" quotePrefix="1" applyNumberFormat="1" applyFont="1" applyProtection="1"/>
    <xf numFmtId="165" fontId="0" fillId="19" borderId="0" xfId="0" applyNumberFormat="1" applyFill="1" applyBorder="1" applyAlignment="1" applyProtection="1">
      <alignment horizontal="center"/>
    </xf>
    <xf numFmtId="200" fontId="0" fillId="19" borderId="0" xfId="0" applyNumberFormat="1" applyFill="1" applyBorder="1" applyAlignment="1" applyProtection="1">
      <alignment horizontal="center" shrinkToFit="1"/>
    </xf>
    <xf numFmtId="165" fontId="0" fillId="19" borderId="63" xfId="0" applyNumberFormat="1" applyFill="1" applyBorder="1" applyAlignment="1" applyProtection="1">
      <alignment horizontal="center"/>
    </xf>
    <xf numFmtId="200" fontId="0" fillId="19" borderId="63" xfId="0" applyNumberFormat="1" applyFill="1" applyBorder="1" applyAlignment="1" applyProtection="1">
      <alignment horizontal="center" shrinkToFit="1"/>
    </xf>
    <xf numFmtId="207" fontId="4" fillId="19" borderId="0" xfId="0" applyNumberFormat="1" applyFont="1" applyFill="1" applyBorder="1" applyAlignment="1" applyProtection="1">
      <alignment horizontal="center" vertical="center" textRotation="90"/>
    </xf>
    <xf numFmtId="0" fontId="0" fillId="19" borderId="63" xfId="0" applyFill="1" applyBorder="1" applyProtection="1"/>
    <xf numFmtId="0" fontId="109" fillId="19" borderId="63" xfId="0" applyFont="1" applyFill="1" applyBorder="1" applyProtection="1"/>
    <xf numFmtId="0" fontId="5" fillId="19" borderId="0" xfId="0" applyFont="1" applyFill="1" applyProtection="1"/>
    <xf numFmtId="0" fontId="109" fillId="19" borderId="0" xfId="0" applyFont="1" applyFill="1" applyProtection="1"/>
    <xf numFmtId="0" fontId="0" fillId="0" borderId="0" xfId="0" applyAlignment="1" applyProtection="1">
      <alignment vertical="center"/>
    </xf>
    <xf numFmtId="9" fontId="109" fillId="0" borderId="0" xfId="0" applyNumberFormat="1" applyFont="1" applyBorder="1"/>
    <xf numFmtId="209" fontId="0" fillId="0" borderId="0" xfId="0" applyNumberFormat="1" applyBorder="1" applyAlignment="1">
      <alignment horizontal="right" shrinkToFit="1"/>
    </xf>
    <xf numFmtId="171" fontId="0" fillId="0" borderId="0" xfId="0" applyNumberFormat="1" applyBorder="1" applyAlignment="1">
      <alignment horizontal="right" shrinkToFit="1"/>
    </xf>
    <xf numFmtId="208" fontId="0" fillId="0" borderId="0" xfId="0" applyNumberFormat="1" applyBorder="1"/>
    <xf numFmtId="9" fontId="109" fillId="33" borderId="63" xfId="0" applyNumberFormat="1" applyFont="1" applyFill="1" applyBorder="1"/>
    <xf numFmtId="209" fontId="0" fillId="33" borderId="14" xfId="0" applyNumberFormat="1" applyFill="1" applyBorder="1" applyAlignment="1">
      <alignment horizontal="right" shrinkToFit="1"/>
    </xf>
    <xf numFmtId="209" fontId="0" fillId="33" borderId="58" xfId="0" applyNumberFormat="1" applyFill="1" applyBorder="1" applyAlignment="1">
      <alignment horizontal="right" shrinkToFit="1"/>
    </xf>
    <xf numFmtId="171" fontId="0" fillId="33" borderId="58" xfId="0" applyNumberFormat="1" applyFill="1" applyBorder="1" applyAlignment="1">
      <alignment horizontal="right" shrinkToFit="1"/>
    </xf>
    <xf numFmtId="208" fontId="0" fillId="33" borderId="58" xfId="0" applyNumberFormat="1" applyFill="1" applyBorder="1"/>
    <xf numFmtId="0" fontId="0" fillId="33" borderId="58" xfId="0" applyFill="1" applyBorder="1"/>
    <xf numFmtId="208" fontId="0" fillId="33" borderId="63" xfId="0" applyNumberFormat="1" applyFill="1" applyBorder="1"/>
    <xf numFmtId="0" fontId="4" fillId="3" borderId="0" xfId="0" applyFont="1" applyFill="1" applyBorder="1" applyAlignment="1" applyProtection="1">
      <alignment horizontal="center" vertical="center" wrapText="1"/>
    </xf>
    <xf numFmtId="0" fontId="4" fillId="3" borderId="46" xfId="0" applyFont="1" applyFill="1" applyBorder="1" applyAlignment="1" applyProtection="1">
      <alignment horizontal="center" vertical="center" wrapText="1"/>
    </xf>
    <xf numFmtId="0" fontId="4" fillId="3" borderId="45"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46" xfId="0" applyFont="1" applyFill="1" applyBorder="1" applyAlignment="1" applyProtection="1">
      <alignment horizontal="center" vertical="center"/>
    </xf>
    <xf numFmtId="0" fontId="13" fillId="3" borderId="0" xfId="0" applyFont="1" applyFill="1" applyBorder="1" applyAlignment="1" applyProtection="1">
      <alignment vertical="center" wrapText="1"/>
    </xf>
    <xf numFmtId="0" fontId="13" fillId="3" borderId="46" xfId="0" applyFont="1" applyFill="1" applyBorder="1" applyAlignment="1" applyProtection="1">
      <alignment vertical="center" wrapText="1"/>
    </xf>
    <xf numFmtId="3" fontId="18" fillId="3" borderId="200" xfId="0" applyNumberFormat="1" applyFont="1" applyFill="1" applyBorder="1" applyAlignment="1" applyProtection="1">
      <alignment vertical="center" shrinkToFit="1"/>
    </xf>
    <xf numFmtId="3" fontId="18" fillId="3" borderId="201" xfId="0" applyNumberFormat="1" applyFont="1" applyFill="1" applyBorder="1" applyAlignment="1" applyProtection="1">
      <alignment vertical="center" shrinkToFit="1"/>
    </xf>
    <xf numFmtId="186" fontId="14" fillId="20" borderId="202" xfId="0" applyNumberFormat="1" applyFont="1" applyFill="1" applyBorder="1" applyAlignment="1" applyProtection="1">
      <alignment horizontal="right" vertical="center" shrinkToFit="1"/>
    </xf>
    <xf numFmtId="0" fontId="4" fillId="20" borderId="72" xfId="0" applyFont="1" applyFill="1" applyBorder="1" applyAlignment="1" applyProtection="1">
      <alignment horizontal="right" vertical="center"/>
    </xf>
    <xf numFmtId="165" fontId="14" fillId="20" borderId="72" xfId="0" applyNumberFormat="1" applyFont="1" applyFill="1" applyBorder="1" applyAlignment="1" applyProtection="1">
      <alignment vertical="center" shrinkToFit="1"/>
    </xf>
    <xf numFmtId="3" fontId="4" fillId="20" borderId="73" xfId="0" applyNumberFormat="1" applyFont="1" applyFill="1" applyBorder="1" applyAlignment="1" applyProtection="1">
      <alignment vertical="center"/>
    </xf>
    <xf numFmtId="0" fontId="5" fillId="0" borderId="9" xfId="0" applyFont="1" applyBorder="1"/>
    <xf numFmtId="165" fontId="87" fillId="19" borderId="0" xfId="0" applyNumberFormat="1" applyFont="1" applyFill="1" applyBorder="1" applyAlignment="1" applyProtection="1">
      <alignment horizontal="center" vertical="center"/>
    </xf>
    <xf numFmtId="0" fontId="7" fillId="39" borderId="0" xfId="0" applyFont="1" applyFill="1" applyAlignment="1" applyProtection="1">
      <alignment horizontal="right" vertical="center"/>
    </xf>
    <xf numFmtId="0" fontId="110" fillId="39" borderId="0" xfId="0" applyFont="1" applyFill="1" applyAlignment="1" applyProtection="1">
      <alignment horizontal="right" vertical="center"/>
    </xf>
    <xf numFmtId="0" fontId="5" fillId="24" borderId="0" xfId="0" applyFont="1" applyFill="1" applyBorder="1" applyAlignment="1" applyProtection="1">
      <alignment vertical="center"/>
    </xf>
    <xf numFmtId="0" fontId="3" fillId="19" borderId="0" xfId="0" applyFont="1" applyFill="1" applyBorder="1" applyAlignment="1" applyProtection="1">
      <alignment vertical="center"/>
    </xf>
    <xf numFmtId="171" fontId="11" fillId="19" borderId="0" xfId="0" applyNumberFormat="1" applyFont="1" applyFill="1" applyBorder="1" applyAlignment="1" applyProtection="1">
      <alignment vertical="center" shrinkToFit="1"/>
    </xf>
    <xf numFmtId="171" fontId="14" fillId="22" borderId="185" xfId="0" applyNumberFormat="1" applyFont="1" applyFill="1" applyBorder="1" applyAlignment="1" applyProtection="1">
      <alignment horizontal="right" vertical="center" shrinkToFit="1"/>
    </xf>
    <xf numFmtId="2" fontId="14" fillId="22" borderId="179" xfId="0" applyNumberFormat="1" applyFont="1" applyFill="1" applyBorder="1" applyAlignment="1" applyProtection="1">
      <alignment vertical="center"/>
    </xf>
    <xf numFmtId="171" fontId="11" fillId="22" borderId="187" xfId="0" applyNumberFormat="1" applyFont="1" applyFill="1" applyBorder="1" applyAlignment="1" applyProtection="1">
      <alignment vertical="center" shrinkToFit="1"/>
    </xf>
    <xf numFmtId="0" fontId="3" fillId="22" borderId="0" xfId="0" applyFont="1" applyFill="1" applyBorder="1" applyAlignment="1" applyProtection="1">
      <alignment horizontal="right" vertical="center"/>
    </xf>
    <xf numFmtId="0" fontId="5" fillId="39" borderId="0" xfId="0" applyFont="1" applyFill="1" applyBorder="1" applyAlignment="1" applyProtection="1">
      <alignment vertical="center"/>
    </xf>
    <xf numFmtId="0" fontId="6" fillId="38" borderId="185" xfId="0" applyFont="1" applyFill="1" applyBorder="1" applyAlignment="1" applyProtection="1">
      <alignment horizontal="left" vertical="center" indent="1"/>
    </xf>
    <xf numFmtId="0" fontId="6" fillId="38" borderId="0" xfId="0" applyFont="1" applyFill="1" applyBorder="1" applyAlignment="1" applyProtection="1">
      <alignment horizontal="left" vertical="center" indent="1"/>
    </xf>
    <xf numFmtId="0" fontId="7" fillId="38" borderId="0" xfId="0" applyFont="1" applyFill="1" applyBorder="1" applyAlignment="1" applyProtection="1">
      <alignment horizontal="left" vertical="center"/>
    </xf>
    <xf numFmtId="0" fontId="5" fillId="38" borderId="0" xfId="0" applyFont="1" applyFill="1" applyBorder="1" applyAlignment="1" applyProtection="1">
      <alignment vertical="center"/>
    </xf>
    <xf numFmtId="170" fontId="6" fillId="38" borderId="0" xfId="0" applyNumberFormat="1" applyFont="1" applyFill="1" applyBorder="1" applyAlignment="1" applyProtection="1">
      <alignment horizontal="right" vertical="center" indent="1" shrinkToFit="1"/>
    </xf>
    <xf numFmtId="170" fontId="6" fillId="38" borderId="184" xfId="0" applyNumberFormat="1" applyFont="1" applyFill="1" applyBorder="1" applyAlignment="1" applyProtection="1">
      <alignment horizontal="right" vertical="center" indent="1" shrinkToFit="1"/>
    </xf>
    <xf numFmtId="0" fontId="3" fillId="22" borderId="0" xfId="0" applyFont="1" applyFill="1" applyBorder="1" applyAlignment="1" applyProtection="1">
      <alignment horizontal="right" vertical="center" indent="1"/>
    </xf>
    <xf numFmtId="222" fontId="5" fillId="22" borderId="0" xfId="0" applyNumberFormat="1" applyFont="1" applyFill="1" applyBorder="1" applyAlignment="1" applyProtection="1">
      <alignment vertical="center"/>
    </xf>
    <xf numFmtId="212" fontId="11" fillId="22" borderId="0" xfId="0" applyNumberFormat="1" applyFont="1" applyFill="1" applyBorder="1" applyAlignment="1" applyProtection="1">
      <alignment horizontal="right" vertical="center"/>
    </xf>
    <xf numFmtId="184" fontId="3" fillId="22" borderId="0" xfId="0" applyNumberFormat="1" applyFont="1" applyFill="1" applyBorder="1" applyAlignment="1" applyProtection="1">
      <alignment horizontal="left" vertical="center" shrinkToFit="1"/>
    </xf>
    <xf numFmtId="2" fontId="11" fillId="22" borderId="185" xfId="0" quotePrefix="1" applyNumberFormat="1" applyFont="1" applyFill="1" applyBorder="1" applyAlignment="1" applyProtection="1">
      <alignment horizontal="left" vertical="center" indent="1"/>
    </xf>
    <xf numFmtId="2" fontId="11" fillId="22" borderId="0" xfId="0" quotePrefix="1" applyNumberFormat="1" applyFont="1" applyFill="1" applyBorder="1" applyAlignment="1" applyProtection="1">
      <alignment horizontal="left" vertical="center" indent="1"/>
    </xf>
    <xf numFmtId="0" fontId="5" fillId="26" borderId="0" xfId="0" applyFont="1" applyFill="1" applyBorder="1" applyAlignment="1" applyProtection="1">
      <alignment horizontal="center" vertical="center"/>
    </xf>
    <xf numFmtId="0" fontId="111" fillId="29" borderId="0" xfId="0" applyFont="1" applyFill="1" applyBorder="1" applyAlignment="1" applyProtection="1">
      <alignment horizontal="left" vertical="center" indent="1"/>
    </xf>
    <xf numFmtId="204" fontId="44" fillId="22" borderId="0" xfId="0" applyNumberFormat="1" applyFont="1" applyFill="1" applyBorder="1" applyAlignment="1" applyProtection="1">
      <alignment vertical="center" textRotation="90"/>
    </xf>
    <xf numFmtId="212" fontId="45" fillId="22" borderId="0" xfId="0" applyNumberFormat="1" applyFont="1" applyFill="1" applyBorder="1" applyAlignment="1" applyProtection="1">
      <alignment vertical="center"/>
    </xf>
    <xf numFmtId="0" fontId="44" fillId="22" borderId="0" xfId="0" applyFont="1" applyFill="1" applyBorder="1" applyAlignment="1" applyProtection="1">
      <alignment vertical="center"/>
    </xf>
    <xf numFmtId="182" fontId="3" fillId="22" borderId="184" xfId="0" applyNumberFormat="1" applyFont="1" applyFill="1" applyBorder="1" applyAlignment="1" applyProtection="1">
      <alignment vertical="center" wrapText="1" shrinkToFit="1"/>
    </xf>
    <xf numFmtId="171" fontId="4" fillId="22" borderId="0" xfId="0" applyNumberFormat="1" applyFont="1" applyFill="1" applyBorder="1" applyAlignment="1" applyProtection="1">
      <alignment horizontal="right" vertical="center" indent="1" shrinkToFit="1"/>
    </xf>
    <xf numFmtId="168" fontId="5" fillId="22" borderId="0" xfId="0" applyNumberFormat="1" applyFont="1" applyFill="1" applyBorder="1" applyAlignment="1" applyProtection="1">
      <alignment horizontal="right" vertical="center" indent="1" shrinkToFit="1"/>
    </xf>
    <xf numFmtId="168" fontId="5" fillId="22" borderId="184" xfId="0" applyNumberFormat="1" applyFont="1" applyFill="1" applyBorder="1" applyAlignment="1" applyProtection="1">
      <alignment horizontal="right" vertical="center" indent="1" shrinkToFit="1"/>
    </xf>
    <xf numFmtId="171" fontId="4" fillId="22" borderId="184" xfId="0" applyNumberFormat="1" applyFont="1" applyFill="1" applyBorder="1" applyAlignment="1" applyProtection="1">
      <alignment vertical="center" shrinkToFit="1"/>
    </xf>
    <xf numFmtId="2" fontId="5" fillId="22" borderId="0" xfId="0" applyNumberFormat="1" applyFont="1" applyFill="1" applyBorder="1" applyAlignment="1" applyProtection="1">
      <alignment horizontal="left" vertical="center" indent="1"/>
    </xf>
    <xf numFmtId="0" fontId="5" fillId="22" borderId="0" xfId="0" applyFont="1" applyFill="1" applyBorder="1" applyAlignment="1" applyProtection="1">
      <alignment horizontal="left" vertical="center" indent="1"/>
    </xf>
    <xf numFmtId="0" fontId="3" fillId="38" borderId="0" xfId="0" applyFont="1" applyFill="1" applyBorder="1" applyAlignment="1" applyProtection="1">
      <alignment horizontal="left" vertical="center"/>
    </xf>
    <xf numFmtId="184" fontId="15" fillId="22" borderId="0" xfId="0" applyNumberFormat="1" applyFont="1" applyFill="1" applyBorder="1" applyAlignment="1" applyProtection="1">
      <alignment horizontal="left" vertical="center" shrinkToFit="1"/>
    </xf>
    <xf numFmtId="182" fontId="15" fillId="22" borderId="0" xfId="0" applyNumberFormat="1" applyFont="1" applyFill="1" applyBorder="1" applyAlignment="1" applyProtection="1">
      <alignment horizontal="left" vertical="center" shrinkToFit="1"/>
    </xf>
    <xf numFmtId="176" fontId="15" fillId="22" borderId="0" xfId="0" applyNumberFormat="1" applyFont="1" applyFill="1" applyBorder="1" applyAlignment="1" applyProtection="1">
      <alignment horizontal="right" vertical="center" shrinkToFit="1"/>
    </xf>
    <xf numFmtId="204" fontId="15" fillId="22" borderId="0" xfId="0" applyNumberFormat="1" applyFont="1" applyFill="1" applyBorder="1" applyAlignment="1" applyProtection="1">
      <alignment horizontal="right" vertical="center" shrinkToFit="1"/>
    </xf>
    <xf numFmtId="0" fontId="15" fillId="22" borderId="0" xfId="0" applyFont="1" applyFill="1" applyBorder="1" applyAlignment="1" applyProtection="1">
      <alignment vertical="center" shrinkToFit="1"/>
    </xf>
    <xf numFmtId="0" fontId="15" fillId="22" borderId="0" xfId="0" applyFont="1" applyFill="1" applyBorder="1" applyAlignment="1" applyProtection="1">
      <alignment horizontal="right" vertical="center" shrinkToFit="1"/>
    </xf>
    <xf numFmtId="168" fontId="5" fillId="22" borderId="0" xfId="0" applyNumberFormat="1" applyFont="1" applyFill="1" applyBorder="1" applyAlignment="1" applyProtection="1">
      <alignment vertical="center"/>
    </xf>
    <xf numFmtId="168" fontId="5" fillId="22" borderId="184" xfId="0" applyNumberFormat="1" applyFont="1" applyFill="1" applyBorder="1" applyAlignment="1" applyProtection="1">
      <alignment vertical="center"/>
    </xf>
    <xf numFmtId="170" fontId="4" fillId="38" borderId="0" xfId="0" applyNumberFormat="1" applyFont="1" applyFill="1" applyBorder="1" applyAlignment="1" applyProtection="1">
      <alignment horizontal="right" vertical="center" indent="1" shrinkToFit="1"/>
    </xf>
    <xf numFmtId="170" fontId="4" fillId="38" borderId="184" xfId="0" applyNumberFormat="1" applyFont="1" applyFill="1" applyBorder="1" applyAlignment="1" applyProtection="1">
      <alignment horizontal="right" vertical="center" indent="1" shrinkToFit="1"/>
    </xf>
    <xf numFmtId="0" fontId="98" fillId="22" borderId="184" xfId="0" applyFont="1" applyFill="1" applyBorder="1" applyAlignment="1" applyProtection="1">
      <alignment vertical="center"/>
    </xf>
    <xf numFmtId="0" fontId="23" fillId="22" borderId="187" xfId="2" applyFont="1" applyFill="1" applyBorder="1" applyAlignment="1" applyProtection="1">
      <alignment vertical="center"/>
    </xf>
    <xf numFmtId="0" fontId="3" fillId="22" borderId="186" xfId="0" applyFont="1" applyFill="1" applyBorder="1" applyAlignment="1" applyProtection="1">
      <alignment vertical="center" textRotation="90"/>
    </xf>
    <xf numFmtId="2" fontId="5" fillId="22" borderId="179" xfId="0" applyNumberFormat="1" applyFont="1" applyFill="1" applyBorder="1" applyAlignment="1" applyProtection="1">
      <alignment vertical="center"/>
    </xf>
    <xf numFmtId="0" fontId="4" fillId="29" borderId="0" xfId="0" quotePrefix="1" applyFont="1" applyFill="1" applyBorder="1" applyAlignment="1" applyProtection="1">
      <alignment vertical="center"/>
    </xf>
    <xf numFmtId="168" fontId="5" fillId="22" borderId="0" xfId="0" applyNumberFormat="1" applyFont="1" applyFill="1" applyBorder="1" applyAlignment="1" applyProtection="1">
      <alignment vertical="center" shrinkToFit="1"/>
    </xf>
    <xf numFmtId="168" fontId="5" fillId="22" borderId="184" xfId="0" applyNumberFormat="1" applyFont="1" applyFill="1" applyBorder="1" applyAlignment="1" applyProtection="1">
      <alignment vertical="center" shrinkToFit="1"/>
    </xf>
    <xf numFmtId="0" fontId="5" fillId="22" borderId="0" xfId="0" applyFont="1" applyFill="1" applyAlignment="1" applyProtection="1">
      <alignment vertical="center"/>
    </xf>
    <xf numFmtId="2" fontId="42" fillId="22" borderId="0" xfId="0" applyNumberFormat="1" applyFont="1" applyFill="1" applyBorder="1" applyAlignment="1" applyProtection="1">
      <alignment vertical="center"/>
    </xf>
    <xf numFmtId="2" fontId="13" fillId="29" borderId="0" xfId="0" applyNumberFormat="1" applyFont="1" applyFill="1" applyBorder="1" applyAlignment="1" applyProtection="1">
      <alignment vertical="center"/>
    </xf>
    <xf numFmtId="0" fontId="15" fillId="22" borderId="186" xfId="0" applyFont="1" applyFill="1" applyBorder="1" applyAlignment="1" applyProtection="1">
      <alignment vertical="center"/>
    </xf>
    <xf numFmtId="0" fontId="15" fillId="22" borderId="187" xfId="0" applyFont="1" applyFill="1" applyBorder="1" applyAlignment="1" applyProtection="1">
      <alignment vertical="center"/>
    </xf>
    <xf numFmtId="168" fontId="15" fillId="22" borderId="0" xfId="0" applyNumberFormat="1" applyFont="1" applyFill="1" applyBorder="1" applyAlignment="1" applyProtection="1">
      <alignment horizontal="right" vertical="center" indent="1" shrinkToFit="1"/>
    </xf>
    <xf numFmtId="2" fontId="15" fillId="22" borderId="179" xfId="0" applyNumberFormat="1" applyFont="1" applyFill="1" applyBorder="1" applyAlignment="1" applyProtection="1">
      <alignment horizontal="left" vertical="center" indent="1"/>
    </xf>
    <xf numFmtId="168" fontId="15" fillId="22" borderId="179" xfId="0" applyNumberFormat="1" applyFont="1" applyFill="1" applyBorder="1" applyAlignment="1" applyProtection="1">
      <alignment horizontal="right" vertical="center" indent="1" shrinkToFit="1"/>
    </xf>
    <xf numFmtId="168" fontId="15" fillId="22" borderId="187" xfId="0" applyNumberFormat="1" applyFont="1" applyFill="1" applyBorder="1" applyAlignment="1" applyProtection="1">
      <alignment horizontal="right" vertical="center" indent="1" shrinkToFit="1"/>
    </xf>
    <xf numFmtId="0" fontId="5" fillId="40" borderId="0" xfId="0" applyFont="1" applyFill="1" applyBorder="1" applyAlignment="1" applyProtection="1">
      <alignment horizontal="center" vertical="center"/>
    </xf>
    <xf numFmtId="0" fontId="6" fillId="19" borderId="0" xfId="0" applyFont="1" applyFill="1" applyBorder="1" applyAlignment="1" applyProtection="1">
      <alignment vertical="center"/>
    </xf>
    <xf numFmtId="0" fontId="101" fillId="23" borderId="180" xfId="2" applyFont="1" applyFill="1" applyBorder="1" applyAlignment="1" applyProtection="1">
      <alignment horizontal="left" vertical="center"/>
    </xf>
    <xf numFmtId="0" fontId="38" fillId="19" borderId="0" xfId="2" applyFont="1" applyFill="1" applyBorder="1" applyAlignment="1" applyProtection="1">
      <alignment vertical="center"/>
    </xf>
    <xf numFmtId="0" fontId="38" fillId="19" borderId="179" xfId="2" applyFont="1" applyFill="1" applyBorder="1" applyAlignment="1" applyProtection="1">
      <alignment vertical="center"/>
    </xf>
    <xf numFmtId="0" fontId="0" fillId="0" borderId="0" xfId="0" applyAlignment="1" applyProtection="1">
      <alignment horizontal="left"/>
    </xf>
    <xf numFmtId="0" fontId="0" fillId="11" borderId="0" xfId="0" applyFill="1" applyAlignment="1" applyProtection="1">
      <alignment horizontal="left"/>
    </xf>
    <xf numFmtId="0" fontId="0" fillId="13" borderId="0" xfId="0" applyFill="1" applyAlignment="1" applyProtection="1">
      <alignment horizontal="left"/>
    </xf>
    <xf numFmtId="0" fontId="51" fillId="13" borderId="0" xfId="0" applyFont="1" applyFill="1" applyAlignment="1" applyProtection="1">
      <alignment horizontal="left"/>
    </xf>
    <xf numFmtId="0" fontId="3" fillId="13" borderId="0" xfId="0" applyFont="1" applyFill="1" applyAlignment="1" applyProtection="1">
      <alignment horizontal="left"/>
    </xf>
    <xf numFmtId="0" fontId="53" fillId="13" borderId="0" xfId="0" applyFont="1" applyFill="1" applyAlignment="1" applyProtection="1">
      <alignment horizontal="left"/>
    </xf>
    <xf numFmtId="0" fontId="0" fillId="13" borderId="0" xfId="0" applyFill="1" applyAlignment="1" applyProtection="1">
      <alignment horizontal="right"/>
    </xf>
    <xf numFmtId="0" fontId="54" fillId="13" borderId="0" xfId="0" applyFont="1" applyFill="1" applyAlignment="1" applyProtection="1">
      <alignment horizontal="left" wrapText="1"/>
    </xf>
    <xf numFmtId="0" fontId="0" fillId="0" borderId="0" xfId="0" applyFill="1" applyAlignment="1" applyProtection="1">
      <alignment horizontal="left"/>
    </xf>
    <xf numFmtId="0" fontId="54" fillId="0" borderId="0" xfId="0" applyFont="1" applyFill="1" applyAlignment="1" applyProtection="1">
      <alignment horizontal="left" wrapText="1"/>
    </xf>
    <xf numFmtId="0" fontId="53" fillId="0" borderId="0" xfId="0" applyFont="1" applyAlignment="1" applyProtection="1">
      <alignment horizontal="left"/>
    </xf>
    <xf numFmtId="0" fontId="3" fillId="0" borderId="0" xfId="0" applyFont="1" applyAlignment="1" applyProtection="1">
      <alignment horizontal="left"/>
    </xf>
    <xf numFmtId="0" fontId="0" fillId="9" borderId="0" xfId="0" applyFill="1" applyAlignment="1" applyProtection="1">
      <alignment horizontal="left"/>
    </xf>
    <xf numFmtId="0" fontId="53" fillId="9" borderId="0" xfId="0" applyFont="1" applyFill="1" applyAlignment="1" applyProtection="1">
      <alignment horizontal="left"/>
    </xf>
    <xf numFmtId="0" fontId="55" fillId="0" borderId="0" xfId="0" applyFont="1" applyFill="1" applyAlignment="1" applyProtection="1">
      <alignment horizontal="left"/>
    </xf>
    <xf numFmtId="0" fontId="3" fillId="0" borderId="0" xfId="0" applyFont="1" applyFill="1" applyAlignment="1" applyProtection="1">
      <alignment horizontal="left"/>
    </xf>
    <xf numFmtId="0" fontId="57" fillId="0" borderId="0" xfId="0" applyFont="1" applyAlignment="1" applyProtection="1">
      <alignment horizontal="left"/>
    </xf>
    <xf numFmtId="0" fontId="44" fillId="0" borderId="0" xfId="0" applyFont="1" applyAlignment="1" applyProtection="1">
      <alignment horizontal="left"/>
    </xf>
    <xf numFmtId="0" fontId="44" fillId="0" borderId="0" xfId="0" applyFont="1" applyAlignment="1" applyProtection="1">
      <alignment horizontal="right"/>
    </xf>
    <xf numFmtId="0" fontId="5" fillId="0" borderId="0" xfId="0" applyFont="1" applyAlignment="1" applyProtection="1">
      <alignment horizontal="left"/>
    </xf>
    <xf numFmtId="49" fontId="0" fillId="0" borderId="0" xfId="0" applyNumberFormat="1" applyAlignment="1" applyProtection="1">
      <alignment horizontal="left"/>
    </xf>
    <xf numFmtId="49" fontId="0" fillId="0" borderId="0" xfId="0" applyNumberFormat="1" applyAlignment="1" applyProtection="1">
      <alignment horizontal="left" vertical="center"/>
    </xf>
    <xf numFmtId="0" fontId="57" fillId="0" borderId="0" xfId="0" applyFont="1" applyAlignment="1" applyProtection="1">
      <alignment horizontal="left" vertical="center"/>
    </xf>
    <xf numFmtId="0" fontId="39" fillId="0" borderId="0" xfId="0" applyFont="1" applyAlignment="1" applyProtection="1">
      <alignment horizontal="left"/>
    </xf>
    <xf numFmtId="0" fontId="51" fillId="0" borderId="0" xfId="0" applyFont="1" applyAlignment="1" applyProtection="1">
      <alignment horizontal="left"/>
    </xf>
    <xf numFmtId="0" fontId="59" fillId="0" borderId="0" xfId="0" applyFont="1" applyAlignment="1" applyProtection="1">
      <alignment horizontal="left"/>
    </xf>
    <xf numFmtId="0" fontId="60" fillId="0" borderId="0" xfId="0" applyFont="1" applyAlignment="1" applyProtection="1">
      <alignment horizontal="left"/>
    </xf>
    <xf numFmtId="0" fontId="5" fillId="0" borderId="0" xfId="0" applyFont="1" applyFill="1" applyAlignment="1" applyProtection="1">
      <alignment horizontal="left"/>
    </xf>
    <xf numFmtId="2" fontId="11" fillId="45" borderId="0" xfId="0" quotePrefix="1" applyNumberFormat="1" applyFont="1" applyFill="1" applyBorder="1" applyAlignment="1" applyProtection="1">
      <alignment vertical="center"/>
    </xf>
    <xf numFmtId="2" fontId="5" fillId="26" borderId="0" xfId="0" quotePrefix="1" applyNumberFormat="1" applyFont="1" applyFill="1" applyBorder="1" applyAlignment="1" applyProtection="1">
      <alignment vertical="center"/>
    </xf>
    <xf numFmtId="175" fontId="5" fillId="26" borderId="0" xfId="0" applyNumberFormat="1" applyFont="1" applyFill="1" applyBorder="1" applyAlignment="1" applyProtection="1">
      <alignment vertical="center"/>
    </xf>
    <xf numFmtId="2" fontId="11" fillId="26" borderId="0" xfId="0" quotePrefix="1" applyNumberFormat="1" applyFont="1" applyFill="1" applyBorder="1" applyAlignment="1" applyProtection="1">
      <alignment vertical="center"/>
    </xf>
    <xf numFmtId="213" fontId="6" fillId="26" borderId="0" xfId="0" applyNumberFormat="1" applyFont="1" applyFill="1" applyBorder="1" applyAlignment="1" applyProtection="1">
      <alignment vertical="center" shrinkToFit="1"/>
    </xf>
    <xf numFmtId="2" fontId="15" fillId="26" borderId="0" xfId="0" quotePrefix="1" applyNumberFormat="1" applyFont="1" applyFill="1" applyBorder="1" applyAlignment="1" applyProtection="1">
      <alignment vertical="center" wrapText="1"/>
    </xf>
    <xf numFmtId="0" fontId="0" fillId="19" borderId="0" xfId="0" applyFill="1" applyBorder="1" applyAlignment="1" applyProtection="1">
      <alignment horizontal="left"/>
    </xf>
    <xf numFmtId="0" fontId="56" fillId="19" borderId="0" xfId="3" applyFont="1" applyFill="1" applyBorder="1" applyAlignment="1" applyProtection="1">
      <alignment horizontal="center" vertical="center" textRotation="90"/>
    </xf>
    <xf numFmtId="0" fontId="5" fillId="0" borderId="0" xfId="0" quotePrefix="1" applyFont="1" applyAlignment="1" applyProtection="1">
      <alignment horizontal="left"/>
    </xf>
    <xf numFmtId="0" fontId="3" fillId="0" borderId="9" xfId="0" applyFont="1" applyBorder="1" applyAlignment="1" applyProtection="1">
      <alignment horizontal="left"/>
    </xf>
    <xf numFmtId="0" fontId="0" fillId="0" borderId="9" xfId="0" applyBorder="1" applyAlignment="1" applyProtection="1">
      <alignment horizontal="left"/>
    </xf>
    <xf numFmtId="0" fontId="0" fillId="19" borderId="0" xfId="0" applyFill="1" applyBorder="1" applyAlignment="1" applyProtection="1"/>
    <xf numFmtId="0" fontId="38" fillId="0" borderId="0" xfId="0" applyFont="1" applyProtection="1"/>
    <xf numFmtId="49" fontId="5" fillId="21" borderId="5" xfId="0" applyNumberFormat="1" applyFont="1" applyFill="1" applyBorder="1" applyAlignment="1" applyProtection="1">
      <alignment horizontal="left"/>
    </xf>
    <xf numFmtId="49" fontId="5" fillId="21" borderId="3" xfId="0" applyNumberFormat="1" applyFont="1" applyFill="1" applyBorder="1" applyAlignment="1" applyProtection="1">
      <alignment horizontal="left"/>
      <protection locked="0"/>
    </xf>
    <xf numFmtId="0" fontId="5" fillId="46" borderId="203" xfId="0" applyFont="1" applyFill="1" applyBorder="1" applyAlignment="1" applyProtection="1">
      <alignment horizontal="left"/>
    </xf>
    <xf numFmtId="0" fontId="0" fillId="46" borderId="204" xfId="0" applyFill="1" applyBorder="1" applyAlignment="1" applyProtection="1">
      <alignment horizontal="left"/>
    </xf>
    <xf numFmtId="0" fontId="0" fillId="46" borderId="205" xfId="0" applyFill="1" applyBorder="1" applyAlignment="1" applyProtection="1">
      <alignment horizontal="left"/>
    </xf>
    <xf numFmtId="0" fontId="5" fillId="46" borderId="206" xfId="0" applyFont="1" applyFill="1" applyBorder="1" applyAlignment="1" applyProtection="1">
      <alignment horizontal="left"/>
    </xf>
    <xf numFmtId="0" fontId="0" fillId="46" borderId="0" xfId="0" applyFill="1" applyBorder="1" applyAlignment="1" applyProtection="1">
      <alignment horizontal="left"/>
    </xf>
    <xf numFmtId="0" fontId="0" fillId="46" borderId="207" xfId="0" applyFill="1" applyBorder="1" applyAlignment="1" applyProtection="1">
      <alignment horizontal="left"/>
    </xf>
    <xf numFmtId="0" fontId="0" fillId="46" borderId="208" xfId="0" applyFill="1" applyBorder="1" applyAlignment="1" applyProtection="1">
      <alignment horizontal="left"/>
    </xf>
    <xf numFmtId="0" fontId="0" fillId="46" borderId="209" xfId="0" applyFill="1" applyBorder="1" applyAlignment="1" applyProtection="1">
      <alignment horizontal="left"/>
    </xf>
    <xf numFmtId="0" fontId="3" fillId="46" borderId="208" xfId="0" applyFont="1" applyFill="1" applyBorder="1" applyAlignment="1" applyProtection="1">
      <alignment horizontal="left" indent="1"/>
    </xf>
    <xf numFmtId="0" fontId="3" fillId="46" borderId="208" xfId="0" applyFont="1" applyFill="1" applyBorder="1" applyAlignment="1" applyProtection="1">
      <alignment horizontal="left"/>
    </xf>
    <xf numFmtId="14" fontId="5" fillId="19" borderId="0" xfId="0" applyNumberFormat="1" applyFont="1" applyFill="1" applyAlignment="1" applyProtection="1">
      <alignment horizontal="center" vertical="center"/>
    </xf>
    <xf numFmtId="3" fontId="87" fillId="39" borderId="0" xfId="0" applyNumberFormat="1" applyFont="1" applyFill="1" applyAlignment="1" applyProtection="1">
      <alignment horizontal="center" vertical="center"/>
    </xf>
    <xf numFmtId="0" fontId="89" fillId="0" borderId="0" xfId="0" applyFont="1" applyFill="1" applyAlignment="1" applyProtection="1">
      <alignment horizontal="left"/>
    </xf>
    <xf numFmtId="202" fontId="5" fillId="30" borderId="190" xfId="0" applyNumberFormat="1" applyFont="1" applyFill="1" applyBorder="1" applyAlignment="1" applyProtection="1">
      <alignment horizontal="left" vertical="center" shrinkToFit="1"/>
    </xf>
    <xf numFmtId="168" fontId="5" fillId="22" borderId="0" xfId="0" applyNumberFormat="1" applyFont="1" applyFill="1" applyBorder="1" applyAlignment="1" applyProtection="1">
      <alignment horizontal="right" vertical="center" indent="1" shrinkToFit="1"/>
    </xf>
    <xf numFmtId="168" fontId="5" fillId="22" borderId="184" xfId="0" applyNumberFormat="1" applyFont="1" applyFill="1" applyBorder="1" applyAlignment="1" applyProtection="1">
      <alignment horizontal="right" vertical="center" indent="1" shrinkToFit="1"/>
    </xf>
    <xf numFmtId="0" fontId="55" fillId="39" borderId="0" xfId="0" applyFont="1" applyFill="1" applyAlignment="1" applyProtection="1">
      <alignment vertical="center"/>
    </xf>
    <xf numFmtId="0" fontId="112" fillId="39" borderId="0" xfId="0" applyFont="1" applyFill="1" applyAlignment="1" applyProtection="1">
      <alignment vertical="center"/>
    </xf>
    <xf numFmtId="0" fontId="62" fillId="0" borderId="0" xfId="0" applyFont="1" applyAlignment="1" applyProtection="1">
      <alignment vertical="center"/>
    </xf>
    <xf numFmtId="171" fontId="11" fillId="22" borderId="0" xfId="0" applyNumberFormat="1" applyFont="1" applyFill="1" applyBorder="1" applyAlignment="1" applyProtection="1">
      <alignment vertical="center"/>
    </xf>
    <xf numFmtId="0" fontId="5" fillId="26" borderId="0" xfId="2" applyFont="1" applyFill="1" applyBorder="1" applyAlignment="1" applyProtection="1">
      <alignment horizontal="center"/>
    </xf>
    <xf numFmtId="0" fontId="5" fillId="33" borderId="185" xfId="0" applyFont="1" applyFill="1" applyBorder="1" applyAlignment="1" applyProtection="1">
      <alignment vertical="center"/>
    </xf>
    <xf numFmtId="0" fontId="5" fillId="33" borderId="186" xfId="0" applyFont="1" applyFill="1" applyBorder="1" applyAlignment="1" applyProtection="1">
      <alignment vertical="center"/>
    </xf>
    <xf numFmtId="0" fontId="5" fillId="33" borderId="179" xfId="0" applyFont="1" applyFill="1" applyBorder="1" applyAlignment="1" applyProtection="1">
      <alignment vertical="center"/>
    </xf>
    <xf numFmtId="0" fontId="5" fillId="33" borderId="187" xfId="0" applyFont="1" applyFill="1" applyBorder="1" applyAlignment="1" applyProtection="1">
      <alignment vertical="center"/>
    </xf>
    <xf numFmtId="0" fontId="23" fillId="33" borderId="0" xfId="2" applyFont="1" applyFill="1" applyBorder="1" applyAlignment="1" applyProtection="1">
      <alignment vertical="center"/>
    </xf>
    <xf numFmtId="176" fontId="13" fillId="33" borderId="184" xfId="0" applyNumberFormat="1" applyFont="1" applyFill="1" applyBorder="1" applyAlignment="1" applyProtection="1">
      <alignment vertical="center" shrinkToFit="1"/>
    </xf>
    <xf numFmtId="176" fontId="11" fillId="33" borderId="184" xfId="0" applyNumberFormat="1" applyFont="1" applyFill="1" applyBorder="1" applyAlignment="1" applyProtection="1">
      <alignment vertical="center" shrinkToFit="1"/>
    </xf>
    <xf numFmtId="2" fontId="14" fillId="33" borderId="185" xfId="0" applyNumberFormat="1" applyFont="1" applyFill="1" applyBorder="1" applyAlignment="1" applyProtection="1">
      <alignment vertical="top"/>
    </xf>
    <xf numFmtId="0" fontId="4" fillId="33" borderId="185" xfId="0" applyFont="1" applyFill="1" applyBorder="1" applyAlignment="1" applyProtection="1">
      <alignment vertical="center" textRotation="90"/>
    </xf>
    <xf numFmtId="0" fontId="15" fillId="26" borderId="0" xfId="0" applyFont="1" applyFill="1" applyBorder="1" applyAlignment="1" applyProtection="1">
      <alignment vertical="center"/>
    </xf>
    <xf numFmtId="0" fontId="6" fillId="40" borderId="185" xfId="0" applyFont="1" applyFill="1" applyBorder="1" applyAlignment="1" applyProtection="1">
      <alignment vertical="center"/>
    </xf>
    <xf numFmtId="0" fontId="10" fillId="33" borderId="184" xfId="2" applyFont="1" applyFill="1" applyBorder="1" applyAlignment="1" applyProtection="1">
      <alignment horizontal="left" vertical="center"/>
    </xf>
    <xf numFmtId="0" fontId="17" fillId="33" borderId="185" xfId="2" applyFont="1" applyFill="1" applyBorder="1" applyAlignment="1" applyProtection="1"/>
    <xf numFmtId="0" fontId="10" fillId="33" borderId="185" xfId="2" applyFont="1" applyFill="1" applyBorder="1" applyAlignment="1" applyProtection="1">
      <alignment horizontal="left" vertical="center"/>
    </xf>
    <xf numFmtId="2" fontId="13" fillId="29" borderId="210" xfId="0" applyNumberFormat="1" applyFont="1" applyFill="1" applyBorder="1" applyAlignment="1" applyProtection="1">
      <alignment vertical="center"/>
    </xf>
    <xf numFmtId="0" fontId="5" fillId="29" borderId="210" xfId="0" applyFont="1" applyFill="1" applyBorder="1" applyAlignment="1" applyProtection="1">
      <alignment vertical="center"/>
    </xf>
    <xf numFmtId="217" fontId="6" fillId="40" borderId="184" xfId="0" applyNumberFormat="1" applyFont="1" applyFill="1" applyBorder="1" applyAlignment="1" applyProtection="1">
      <alignment vertical="center"/>
    </xf>
    <xf numFmtId="0" fontId="5" fillId="33" borderId="184" xfId="2" applyFont="1" applyFill="1" applyBorder="1" applyAlignment="1" applyProtection="1">
      <alignment vertical="center"/>
    </xf>
    <xf numFmtId="0" fontId="5" fillId="26" borderId="179" xfId="0" applyFont="1" applyFill="1" applyBorder="1" applyAlignment="1" applyProtection="1">
      <alignment vertical="center"/>
    </xf>
    <xf numFmtId="0" fontId="5" fillId="26" borderId="210" xfId="0" applyFont="1" applyFill="1" applyBorder="1" applyAlignment="1" applyProtection="1">
      <alignment vertical="center"/>
    </xf>
    <xf numFmtId="218" fontId="5" fillId="26" borderId="210" xfId="0" applyNumberFormat="1" applyFont="1" applyFill="1" applyBorder="1" applyAlignment="1" applyProtection="1">
      <alignment vertical="center" shrinkToFit="1"/>
    </xf>
    <xf numFmtId="0" fontId="5" fillId="29" borderId="211" xfId="0" applyFont="1" applyFill="1" applyBorder="1" applyAlignment="1" applyProtection="1">
      <alignment vertical="center"/>
    </xf>
    <xf numFmtId="0" fontId="5" fillId="29" borderId="212" xfId="0" applyFont="1" applyFill="1" applyBorder="1" applyAlignment="1" applyProtection="1">
      <alignment vertical="center"/>
    </xf>
    <xf numFmtId="0" fontId="23" fillId="19" borderId="213" xfId="2" applyFont="1" applyFill="1" applyBorder="1" applyAlignment="1" applyProtection="1">
      <alignment vertical="center"/>
    </xf>
    <xf numFmtId="0" fontId="23" fillId="19" borderId="210" xfId="2" applyFont="1" applyFill="1" applyBorder="1" applyAlignment="1" applyProtection="1">
      <alignment vertical="center"/>
    </xf>
    <xf numFmtId="0" fontId="23" fillId="19" borderId="214" xfId="2" applyFont="1" applyFill="1" applyBorder="1" applyAlignment="1" applyProtection="1">
      <alignment vertical="center"/>
    </xf>
    <xf numFmtId="0" fontId="6" fillId="19" borderId="211" xfId="0" applyFont="1" applyFill="1" applyBorder="1" applyAlignment="1" applyProtection="1">
      <alignment vertical="center"/>
    </xf>
    <xf numFmtId="0" fontId="6" fillId="19" borderId="212" xfId="0" applyFont="1" applyFill="1" applyBorder="1" applyAlignment="1" applyProtection="1">
      <alignment vertical="center"/>
    </xf>
    <xf numFmtId="0" fontId="5" fillId="19" borderId="212" xfId="0" applyFont="1" applyFill="1" applyBorder="1" applyAlignment="1" applyProtection="1">
      <alignment vertical="center"/>
    </xf>
    <xf numFmtId="0" fontId="15" fillId="0" borderId="212" xfId="0" applyFont="1" applyBorder="1" applyAlignment="1" applyProtection="1">
      <alignment vertical="center"/>
    </xf>
    <xf numFmtId="0" fontId="6" fillId="19" borderId="215" xfId="0" applyFont="1" applyFill="1" applyBorder="1" applyAlignment="1" applyProtection="1">
      <alignment vertical="center"/>
    </xf>
    <xf numFmtId="0" fontId="48" fillId="47" borderId="0" xfId="2" applyFont="1" applyFill="1" applyBorder="1" applyAlignment="1" applyProtection="1">
      <alignment horizontal="left"/>
      <protection locked="0"/>
    </xf>
    <xf numFmtId="0" fontId="48" fillId="47" borderId="0" xfId="2" applyFont="1" applyFill="1" applyBorder="1" applyAlignment="1" applyProtection="1">
      <alignment horizontal="left"/>
    </xf>
    <xf numFmtId="0" fontId="63" fillId="47" borderId="0" xfId="2" applyFont="1" applyFill="1" applyAlignment="1" applyProtection="1">
      <alignment horizontal="left"/>
    </xf>
    <xf numFmtId="0" fontId="48" fillId="47" borderId="179" xfId="2" applyFont="1" applyFill="1" applyBorder="1" applyAlignment="1" applyProtection="1">
      <alignment horizontal="left"/>
    </xf>
    <xf numFmtId="0" fontId="5" fillId="19" borderId="0" xfId="2" applyFont="1" applyFill="1" applyBorder="1" applyAlignment="1" applyProtection="1">
      <alignment horizontal="center" vertical="center" wrapText="1"/>
    </xf>
    <xf numFmtId="0" fontId="23" fillId="19" borderId="0" xfId="2" applyFont="1" applyFill="1" applyAlignment="1" applyProtection="1">
      <alignment horizontal="center" vertical="center"/>
    </xf>
    <xf numFmtId="0" fontId="5" fillId="19" borderId="185" xfId="2" applyFont="1" applyFill="1" applyBorder="1" applyAlignment="1" applyProtection="1">
      <alignment vertical="center" wrapText="1"/>
    </xf>
    <xf numFmtId="0" fontId="5" fillId="19" borderId="184" xfId="2" applyFont="1" applyFill="1" applyBorder="1" applyAlignment="1" applyProtection="1">
      <alignment vertical="center" wrapText="1"/>
    </xf>
    <xf numFmtId="0" fontId="5" fillId="19" borderId="185" xfId="2" applyFont="1" applyFill="1" applyBorder="1" applyAlignment="1" applyProtection="1">
      <alignment vertical="center"/>
    </xf>
    <xf numFmtId="0" fontId="5" fillId="19" borderId="184" xfId="2" applyFont="1" applyFill="1" applyBorder="1" applyAlignment="1" applyProtection="1">
      <alignment vertical="center"/>
    </xf>
    <xf numFmtId="0" fontId="5" fillId="19" borderId="185" xfId="2" applyFont="1" applyFill="1" applyBorder="1" applyAlignment="1" applyProtection="1">
      <alignment horizontal="left" vertical="center" indent="1"/>
    </xf>
    <xf numFmtId="0" fontId="5" fillId="19" borderId="185" xfId="0" applyFont="1" applyFill="1" applyBorder="1" applyAlignment="1">
      <alignment horizontal="left" indent="1"/>
    </xf>
    <xf numFmtId="0" fontId="55" fillId="19" borderId="185" xfId="0" applyFont="1" applyFill="1" applyBorder="1" applyAlignment="1">
      <alignment horizontal="left" indent="1"/>
    </xf>
    <xf numFmtId="0" fontId="5" fillId="19" borderId="185" xfId="0" applyFont="1" applyFill="1" applyBorder="1" applyAlignment="1">
      <alignment horizontal="left"/>
    </xf>
    <xf numFmtId="0" fontId="87" fillId="19" borderId="185" xfId="2" applyFont="1" applyFill="1" applyBorder="1" applyAlignment="1" applyProtection="1">
      <alignment horizontal="left" vertical="center" indent="1"/>
    </xf>
    <xf numFmtId="0" fontId="98" fillId="19" borderId="185" xfId="2" applyFont="1" applyFill="1" applyBorder="1" applyAlignment="1" applyProtection="1">
      <alignment horizontal="left" vertical="center" indent="1"/>
    </xf>
    <xf numFmtId="0" fontId="98" fillId="19" borderId="185" xfId="2" applyFont="1" applyFill="1" applyBorder="1" applyAlignment="1" applyProtection="1">
      <alignment horizontal="left" vertical="center" wrapText="1" indent="1"/>
    </xf>
    <xf numFmtId="0" fontId="98" fillId="19" borderId="0" xfId="2" applyFont="1" applyFill="1" applyBorder="1" applyAlignment="1" applyProtection="1">
      <alignment vertical="center"/>
    </xf>
    <xf numFmtId="3" fontId="5" fillId="19" borderId="0" xfId="2" applyNumberFormat="1" applyFont="1" applyFill="1" applyBorder="1" applyAlignment="1" applyProtection="1">
      <alignment horizontal="center" vertical="center" wrapText="1"/>
    </xf>
    <xf numFmtId="0" fontId="5" fillId="21" borderId="0" xfId="2" applyFont="1" applyFill="1" applyBorder="1" applyAlignment="1" applyProtection="1">
      <alignment horizontal="center" vertical="center" wrapText="1"/>
      <protection locked="0"/>
    </xf>
    <xf numFmtId="0" fontId="5" fillId="19" borderId="182" xfId="2" applyFont="1" applyFill="1" applyBorder="1" applyAlignment="1" applyProtection="1">
      <alignment vertical="center"/>
    </xf>
    <xf numFmtId="0" fontId="5" fillId="19" borderId="183" xfId="2" applyFont="1" applyFill="1" applyBorder="1" applyAlignment="1" applyProtection="1">
      <alignment vertical="center"/>
    </xf>
    <xf numFmtId="0" fontId="5" fillId="19" borderId="186" xfId="2" applyFont="1" applyFill="1" applyBorder="1" applyAlignment="1" applyProtection="1">
      <alignment vertical="center"/>
    </xf>
    <xf numFmtId="0" fontId="5" fillId="19" borderId="179" xfId="2" applyFont="1" applyFill="1" applyBorder="1" applyAlignment="1" applyProtection="1">
      <alignment vertical="center"/>
    </xf>
    <xf numFmtId="0" fontId="5" fillId="19" borderId="187" xfId="2" applyFont="1" applyFill="1" applyBorder="1" applyAlignment="1" applyProtection="1">
      <alignment vertical="center"/>
    </xf>
    <xf numFmtId="0" fontId="4" fillId="19" borderId="0" xfId="2" applyFont="1" applyFill="1" applyBorder="1" applyAlignment="1" applyProtection="1">
      <alignment vertical="center"/>
    </xf>
    <xf numFmtId="0" fontId="55" fillId="19" borderId="185" xfId="2" applyFont="1" applyFill="1" applyBorder="1" applyAlignment="1" applyProtection="1">
      <alignment horizontal="left" vertical="center" indent="1"/>
    </xf>
    <xf numFmtId="0" fontId="5" fillId="19" borderId="181" xfId="2" applyFont="1" applyFill="1" applyBorder="1" applyAlignment="1" applyProtection="1">
      <alignment vertical="center"/>
    </xf>
    <xf numFmtId="0" fontId="5" fillId="22" borderId="0" xfId="2" applyFont="1" applyFill="1" applyBorder="1" applyAlignment="1" applyProtection="1">
      <alignment vertical="center" wrapText="1"/>
    </xf>
    <xf numFmtId="0" fontId="5" fillId="22" borderId="184" xfId="2" applyFont="1" applyFill="1" applyBorder="1" applyAlignment="1" applyProtection="1">
      <alignment vertical="center" wrapText="1"/>
    </xf>
    <xf numFmtId="0" fontId="5" fillId="22" borderId="185" xfId="2" applyFont="1" applyFill="1" applyBorder="1" applyAlignment="1" applyProtection="1">
      <alignment vertical="center" wrapText="1"/>
    </xf>
    <xf numFmtId="0" fontId="87" fillId="22" borderId="185" xfId="2" applyFont="1" applyFill="1" applyBorder="1" applyAlignment="1" applyProtection="1">
      <alignment horizontal="left" vertical="center" indent="1"/>
    </xf>
    <xf numFmtId="0" fontId="87" fillId="22" borderId="0" xfId="2" applyFont="1" applyFill="1" applyBorder="1" applyAlignment="1" applyProtection="1">
      <alignment horizontal="left" vertical="center"/>
    </xf>
    <xf numFmtId="0" fontId="5" fillId="22" borderId="185" xfId="2" applyFont="1" applyFill="1" applyBorder="1" applyAlignment="1" applyProtection="1">
      <alignment vertical="center"/>
    </xf>
    <xf numFmtId="0" fontId="5" fillId="22" borderId="0" xfId="2" applyFont="1" applyFill="1" applyBorder="1" applyAlignment="1" applyProtection="1">
      <alignment vertical="center"/>
    </xf>
    <xf numFmtId="0" fontId="5" fillId="22" borderId="184" xfId="2" applyFont="1" applyFill="1" applyBorder="1" applyAlignment="1" applyProtection="1">
      <alignment vertical="center"/>
    </xf>
    <xf numFmtId="0" fontId="3" fillId="22" borderId="185" xfId="2" applyFont="1" applyFill="1" applyBorder="1" applyAlignment="1" applyProtection="1">
      <alignment horizontal="left" vertical="center" indent="1"/>
    </xf>
    <xf numFmtId="0" fontId="5" fillId="22" borderId="216" xfId="0" applyFont="1" applyFill="1" applyBorder="1" applyAlignment="1" applyProtection="1">
      <alignment vertical="center"/>
    </xf>
    <xf numFmtId="0" fontId="5" fillId="22" borderId="217" xfId="0" applyFont="1" applyFill="1" applyBorder="1" applyAlignment="1" applyProtection="1">
      <alignment vertical="center"/>
    </xf>
    <xf numFmtId="0" fontId="5" fillId="22" borderId="198" xfId="0" applyFont="1" applyFill="1" applyBorder="1" applyAlignment="1" applyProtection="1">
      <alignment vertical="center"/>
    </xf>
    <xf numFmtId="227" fontId="15" fillId="19" borderId="58" xfId="0" applyNumberFormat="1" applyFont="1" applyFill="1" applyBorder="1" applyAlignment="1" applyProtection="1">
      <alignment horizontal="right" vertical="center"/>
    </xf>
    <xf numFmtId="0" fontId="5" fillId="0" borderId="0" xfId="0" quotePrefix="1" applyFont="1" applyBorder="1" applyAlignment="1" applyProtection="1">
      <alignment horizontal="left"/>
    </xf>
    <xf numFmtId="0" fontId="0" fillId="0" borderId="0" xfId="0" applyBorder="1" applyAlignment="1" applyProtection="1">
      <alignment horizontal="left"/>
    </xf>
    <xf numFmtId="0" fontId="5" fillId="0" borderId="9" xfId="0" quotePrefix="1" applyFont="1" applyBorder="1" applyAlignment="1" applyProtection="1">
      <alignment horizontal="left"/>
    </xf>
    <xf numFmtId="0" fontId="87" fillId="0" borderId="0" xfId="0" applyFont="1" applyBorder="1" applyAlignment="1" applyProtection="1">
      <alignment horizontal="left"/>
    </xf>
    <xf numFmtId="0" fontId="98" fillId="0" borderId="0" xfId="0" applyFont="1" applyAlignment="1" applyProtection="1">
      <alignment horizontal="left"/>
    </xf>
    <xf numFmtId="0" fontId="98" fillId="0" borderId="0" xfId="0" quotePrefix="1" applyFont="1" applyBorder="1" applyAlignment="1" applyProtection="1">
      <alignment horizontal="left"/>
    </xf>
    <xf numFmtId="233" fontId="0" fillId="19" borderId="63" xfId="0" applyNumberFormat="1" applyFill="1" applyBorder="1" applyAlignment="1" applyProtection="1">
      <alignment horizontal="center" shrinkToFit="1"/>
    </xf>
    <xf numFmtId="0" fontId="6" fillId="40" borderId="185" xfId="0" applyFont="1" applyFill="1" applyBorder="1" applyAlignment="1" applyProtection="1">
      <alignment horizontal="left" vertical="center" indent="1"/>
    </xf>
    <xf numFmtId="0" fontId="6" fillId="40" borderId="0" xfId="0" applyFont="1" applyFill="1" applyBorder="1" applyAlignment="1" applyProtection="1">
      <alignment horizontal="left" vertical="center" indent="1"/>
    </xf>
    <xf numFmtId="0" fontId="6" fillId="40" borderId="184" xfId="0" applyFont="1" applyFill="1" applyBorder="1" applyAlignment="1" applyProtection="1">
      <alignment horizontal="left" vertical="center" indent="1"/>
    </xf>
    <xf numFmtId="217" fontId="6" fillId="40" borderId="0" xfId="0" applyNumberFormat="1" applyFont="1" applyFill="1" applyBorder="1" applyAlignment="1" applyProtection="1">
      <alignment horizontal="right" vertical="center"/>
    </xf>
    <xf numFmtId="0" fontId="97" fillId="23" borderId="0" xfId="0" applyFont="1" applyFill="1" applyAlignment="1" applyProtection="1">
      <alignment horizontal="center" vertical="center" wrapText="1" shrinkToFit="1"/>
    </xf>
    <xf numFmtId="0" fontId="6" fillId="24" borderId="185" xfId="0" applyFont="1" applyFill="1" applyBorder="1" applyAlignment="1" applyProtection="1">
      <alignment horizontal="left" vertical="center" indent="1"/>
    </xf>
    <xf numFmtId="0" fontId="6" fillId="24" borderId="0" xfId="0" applyFont="1" applyFill="1" applyBorder="1" applyAlignment="1" applyProtection="1">
      <alignment horizontal="left" vertical="center" indent="1"/>
    </xf>
    <xf numFmtId="0" fontId="6" fillId="24" borderId="184" xfId="0" applyFont="1" applyFill="1" applyBorder="1" applyAlignment="1" applyProtection="1">
      <alignment horizontal="left" vertical="center" indent="1"/>
    </xf>
    <xf numFmtId="0" fontId="13" fillId="40" borderId="0" xfId="0" applyFont="1" applyFill="1" applyBorder="1" applyAlignment="1" applyProtection="1">
      <alignment horizontal="center" vertical="center" shrinkToFit="1"/>
    </xf>
    <xf numFmtId="0" fontId="5" fillId="19" borderId="0" xfId="0" applyFont="1" applyFill="1" applyAlignment="1" applyProtection="1"/>
    <xf numFmtId="49" fontId="5" fillId="3" borderId="71" xfId="0" applyNumberFormat="1" applyFont="1" applyFill="1" applyBorder="1" applyAlignment="1" applyProtection="1">
      <alignment horizontal="left"/>
    </xf>
    <xf numFmtId="49" fontId="5" fillId="3" borderId="62" xfId="0" applyNumberFormat="1" applyFont="1" applyFill="1" applyBorder="1" applyAlignment="1" applyProtection="1">
      <alignment horizontal="left"/>
    </xf>
    <xf numFmtId="165" fontId="5" fillId="3" borderId="71" xfId="0" applyNumberFormat="1" applyFont="1" applyFill="1" applyBorder="1" applyAlignment="1" applyProtection="1">
      <alignment horizontal="center"/>
    </xf>
    <xf numFmtId="164" fontId="5" fillId="3" borderId="74" xfId="0" applyNumberFormat="1" applyFont="1" applyFill="1" applyBorder="1" applyAlignment="1" applyProtection="1">
      <alignment horizontal="center" vertical="center"/>
    </xf>
    <xf numFmtId="172" fontId="20" fillId="6" borderId="75" xfId="0" applyNumberFormat="1" applyFont="1" applyFill="1" applyBorder="1" applyAlignment="1" applyProtection="1">
      <alignment horizontal="center" vertical="center" shrinkToFit="1"/>
    </xf>
    <xf numFmtId="164" fontId="5" fillId="3" borderId="76" xfId="0" applyNumberFormat="1" applyFont="1" applyFill="1" applyBorder="1" applyAlignment="1" applyProtection="1">
      <alignment horizontal="center" vertical="center"/>
    </xf>
    <xf numFmtId="177" fontId="20" fillId="6" borderId="33" xfId="0" applyNumberFormat="1" applyFont="1" applyFill="1" applyBorder="1" applyAlignment="1" applyProtection="1">
      <alignment horizontal="center" vertical="center" shrinkToFit="1"/>
    </xf>
    <xf numFmtId="215" fontId="20" fillId="6" borderId="33" xfId="0" applyNumberFormat="1" applyFont="1" applyFill="1" applyBorder="1" applyAlignment="1" applyProtection="1">
      <alignment horizontal="center" vertical="center" shrinkToFit="1"/>
    </xf>
    <xf numFmtId="216" fontId="20" fillId="6" borderId="33" xfId="0" applyNumberFormat="1" applyFont="1" applyFill="1" applyBorder="1" applyAlignment="1" applyProtection="1">
      <alignment horizontal="center" vertical="center" shrinkToFit="1"/>
    </xf>
    <xf numFmtId="0" fontId="5" fillId="3" borderId="30" xfId="0" applyFont="1" applyFill="1" applyBorder="1" applyAlignment="1" applyProtection="1">
      <alignment vertical="center"/>
    </xf>
    <xf numFmtId="9" fontId="5" fillId="3" borderId="32" xfId="0" applyNumberFormat="1" applyFont="1" applyFill="1" applyBorder="1" applyAlignment="1" applyProtection="1">
      <alignment horizontal="center" vertical="center"/>
    </xf>
    <xf numFmtId="0" fontId="5" fillId="3" borderId="218" xfId="0" applyFont="1" applyFill="1" applyBorder="1" applyAlignment="1" applyProtection="1">
      <alignment vertical="center"/>
    </xf>
    <xf numFmtId="0" fontId="5" fillId="3" borderId="219" xfId="0" applyFont="1" applyFill="1" applyBorder="1" applyAlignment="1" applyProtection="1">
      <alignment vertical="center"/>
    </xf>
    <xf numFmtId="49" fontId="5" fillId="3" borderId="220" xfId="0" applyNumberFormat="1" applyFont="1" applyFill="1" applyBorder="1" applyAlignment="1" applyProtection="1">
      <alignment horizontal="left"/>
    </xf>
    <xf numFmtId="49" fontId="5" fillId="3" borderId="221" xfId="0" applyNumberFormat="1" applyFont="1" applyFill="1" applyBorder="1" applyAlignment="1" applyProtection="1">
      <alignment horizontal="left"/>
    </xf>
    <xf numFmtId="165" fontId="5" fillId="3" borderId="220" xfId="0" applyNumberFormat="1" applyFont="1" applyFill="1" applyBorder="1" applyAlignment="1" applyProtection="1">
      <alignment horizontal="center"/>
    </xf>
    <xf numFmtId="164" fontId="5" fillId="3" borderId="222" xfId="0" applyNumberFormat="1" applyFont="1" applyFill="1" applyBorder="1" applyAlignment="1" applyProtection="1">
      <alignment horizontal="center" vertical="center"/>
    </xf>
    <xf numFmtId="172" fontId="20" fillId="6" borderId="223" xfId="0" applyNumberFormat="1" applyFont="1" applyFill="1" applyBorder="1" applyAlignment="1" applyProtection="1">
      <alignment horizontal="center" vertical="center" shrinkToFit="1"/>
    </xf>
    <xf numFmtId="177" fontId="20" fillId="6" borderId="224" xfId="0" applyNumberFormat="1" applyFont="1" applyFill="1" applyBorder="1" applyAlignment="1" applyProtection="1">
      <alignment horizontal="center" vertical="center" shrinkToFit="1"/>
    </xf>
    <xf numFmtId="215" fontId="20" fillId="6" borderId="224" xfId="0" applyNumberFormat="1" applyFont="1" applyFill="1" applyBorder="1" applyAlignment="1" applyProtection="1">
      <alignment horizontal="center" vertical="center" shrinkToFit="1"/>
    </xf>
    <xf numFmtId="216" fontId="20" fillId="6" borderId="224" xfId="0" applyNumberFormat="1" applyFont="1" applyFill="1" applyBorder="1" applyAlignment="1" applyProtection="1">
      <alignment horizontal="center" vertical="center" shrinkToFit="1"/>
    </xf>
    <xf numFmtId="0" fontId="5" fillId="7" borderId="225" xfId="0" applyFont="1" applyFill="1" applyBorder="1" applyAlignment="1" applyProtection="1">
      <alignment vertical="center"/>
    </xf>
    <xf numFmtId="0" fontId="5" fillId="7" borderId="226" xfId="0" applyFont="1" applyFill="1" applyBorder="1" applyAlignment="1" applyProtection="1">
      <alignment vertical="center"/>
    </xf>
    <xf numFmtId="0" fontId="5" fillId="7" borderId="219" xfId="0" applyFont="1" applyFill="1" applyBorder="1" applyAlignment="1" applyProtection="1">
      <alignment vertical="center"/>
    </xf>
    <xf numFmtId="0" fontId="5" fillId="3" borderId="224" xfId="0" applyFont="1" applyFill="1" applyBorder="1" applyAlignment="1" applyProtection="1">
      <alignment vertical="center"/>
    </xf>
    <xf numFmtId="9" fontId="5" fillId="3" borderId="227" xfId="0" applyNumberFormat="1" applyFont="1" applyFill="1" applyBorder="1" applyAlignment="1" applyProtection="1">
      <alignment horizontal="center" vertical="center"/>
    </xf>
    <xf numFmtId="0" fontId="39" fillId="48" borderId="228" xfId="0" applyFont="1" applyFill="1" applyBorder="1" applyAlignment="1" applyProtection="1">
      <alignment horizontal="center" vertical="center"/>
    </xf>
    <xf numFmtId="0" fontId="7" fillId="3" borderId="0" xfId="0" applyFont="1" applyFill="1" applyAlignment="1" applyProtection="1">
      <alignment horizontal="center"/>
    </xf>
    <xf numFmtId="0" fontId="5" fillId="52" borderId="121" xfId="0" applyFont="1" applyFill="1" applyBorder="1" applyAlignment="1" applyProtection="1">
      <alignment horizontal="left" shrinkToFit="1"/>
    </xf>
    <xf numFmtId="164" fontId="5" fillId="21" borderId="233" xfId="0" applyNumberFormat="1" applyFont="1" applyFill="1" applyBorder="1" applyAlignment="1" applyProtection="1">
      <alignment horizontal="center" vertical="center"/>
      <protection locked="0"/>
    </xf>
    <xf numFmtId="224" fontId="5" fillId="19" borderId="234" xfId="0" applyNumberFormat="1" applyFont="1" applyFill="1" applyBorder="1" applyAlignment="1" applyProtection="1">
      <alignment horizontal="center" vertical="center"/>
    </xf>
    <xf numFmtId="224" fontId="5" fillId="19" borderId="233" xfId="0" applyNumberFormat="1" applyFont="1" applyFill="1" applyBorder="1" applyAlignment="1" applyProtection="1">
      <alignment horizontal="center" vertical="center"/>
    </xf>
    <xf numFmtId="224" fontId="5" fillId="19" borderId="235" xfId="0" applyNumberFormat="1" applyFont="1" applyFill="1" applyBorder="1" applyAlignment="1" applyProtection="1">
      <alignment horizontal="center" vertical="center"/>
    </xf>
    <xf numFmtId="224" fontId="5" fillId="19" borderId="236" xfId="0" applyNumberFormat="1" applyFont="1" applyFill="1" applyBorder="1" applyAlignment="1" applyProtection="1">
      <alignment horizontal="center" vertical="center"/>
    </xf>
    <xf numFmtId="224" fontId="5" fillId="19" borderId="7" xfId="0" applyNumberFormat="1" applyFont="1" applyFill="1" applyBorder="1" applyAlignment="1" applyProtection="1">
      <alignment horizontal="center" vertical="center"/>
    </xf>
    <xf numFmtId="0" fontId="39" fillId="48" borderId="122" xfId="0" applyFont="1" applyFill="1" applyBorder="1" applyAlignment="1" applyProtection="1">
      <alignment horizontal="center" vertical="center"/>
    </xf>
    <xf numFmtId="0" fontId="5" fillId="19" borderId="237" xfId="0" applyFont="1" applyFill="1" applyBorder="1" applyAlignment="1" applyProtection="1">
      <alignment vertical="center"/>
    </xf>
    <xf numFmtId="0" fontId="5" fillId="19" borderId="122" xfId="0" applyFont="1" applyFill="1" applyBorder="1" applyAlignment="1" applyProtection="1">
      <alignment vertical="center"/>
    </xf>
    <xf numFmtId="0" fontId="116" fillId="53" borderId="122" xfId="0" applyFont="1" applyFill="1" applyBorder="1" applyAlignment="1" applyProtection="1">
      <alignment horizontal="center" vertical="center"/>
    </xf>
    <xf numFmtId="190" fontId="5" fillId="19" borderId="0" xfId="0" applyNumberFormat="1" applyFont="1" applyFill="1" applyAlignment="1" applyProtection="1">
      <alignment horizontal="center" vertical="center"/>
      <protection locked="0"/>
    </xf>
    <xf numFmtId="2" fontId="117" fillId="22" borderId="0" xfId="0" applyNumberFormat="1" applyFont="1" applyFill="1" applyBorder="1" applyAlignment="1" applyProtection="1">
      <alignment vertical="center"/>
    </xf>
    <xf numFmtId="3" fontId="5" fillId="39" borderId="0" xfId="0" applyNumberFormat="1" applyFont="1" applyFill="1" applyAlignment="1" applyProtection="1">
      <alignment horizontal="center" vertical="center"/>
    </xf>
    <xf numFmtId="2" fontId="15" fillId="22" borderId="0" xfId="0" applyNumberFormat="1" applyFont="1" applyFill="1" applyBorder="1" applyAlignment="1" applyProtection="1">
      <alignment horizontal="left" vertical="center" indent="1"/>
    </xf>
    <xf numFmtId="196" fontId="15" fillId="22" borderId="0" xfId="0" applyNumberFormat="1" applyFont="1" applyFill="1" applyBorder="1" applyAlignment="1" applyProtection="1">
      <alignment horizontal="right" vertical="center" shrinkToFit="1"/>
    </xf>
    <xf numFmtId="0" fontId="5" fillId="19" borderId="63" xfId="2" applyFont="1" applyFill="1" applyBorder="1" applyAlignment="1" applyProtection="1">
      <alignment horizontal="center" vertical="center"/>
    </xf>
    <xf numFmtId="0" fontId="118" fillId="19" borderId="0" xfId="0" applyFont="1" applyFill="1" applyAlignment="1" applyProtection="1">
      <alignment horizontal="left"/>
    </xf>
    <xf numFmtId="0" fontId="0" fillId="19" borderId="0" xfId="0" applyFill="1" applyAlignment="1" applyProtection="1">
      <alignment horizontal="left"/>
    </xf>
    <xf numFmtId="0" fontId="5" fillId="19" borderId="0" xfId="0" applyFont="1" applyFill="1" applyAlignment="1" applyProtection="1">
      <alignment horizontal="left"/>
    </xf>
    <xf numFmtId="0" fontId="119" fillId="19" borderId="0" xfId="0" applyFont="1" applyFill="1" applyAlignment="1" applyProtection="1">
      <alignment horizontal="left"/>
    </xf>
    <xf numFmtId="0" fontId="12" fillId="0" borderId="0" xfId="0" applyFont="1" applyAlignment="1" applyProtection="1">
      <alignment horizontal="left"/>
    </xf>
    <xf numFmtId="0" fontId="120" fillId="22" borderId="0" xfId="0" applyFont="1" applyFill="1" applyAlignment="1" applyProtection="1">
      <alignment horizontal="left"/>
    </xf>
    <xf numFmtId="0" fontId="0" fillId="22" borderId="0" xfId="0" applyFill="1" applyAlignment="1" applyProtection="1">
      <alignment horizontal="left"/>
    </xf>
    <xf numFmtId="0" fontId="5" fillId="22" borderId="0" xfId="0" applyFont="1" applyFill="1" applyAlignment="1" applyProtection="1">
      <alignment horizontal="left"/>
    </xf>
    <xf numFmtId="0" fontId="119" fillId="22" borderId="0" xfId="0" applyFont="1" applyFill="1" applyAlignment="1" applyProtection="1">
      <alignment horizontal="left"/>
    </xf>
    <xf numFmtId="0" fontId="15" fillId="4" borderId="53" xfId="0" applyFont="1" applyFill="1" applyBorder="1" applyAlignment="1" applyProtection="1">
      <alignment horizontal="center" vertical="center" shrinkToFit="1"/>
    </xf>
    <xf numFmtId="0" fontId="15" fillId="4" borderId="55" xfId="0" applyFont="1" applyFill="1" applyBorder="1" applyAlignment="1" applyProtection="1">
      <alignment horizontal="center" vertical="center" shrinkToFit="1"/>
    </xf>
    <xf numFmtId="0" fontId="4" fillId="24" borderId="185" xfId="0" applyFont="1" applyFill="1" applyBorder="1" applyAlignment="1" applyProtection="1">
      <alignment vertical="center"/>
    </xf>
    <xf numFmtId="0" fontId="48" fillId="19" borderId="0" xfId="4" applyFont="1" applyFill="1" applyAlignment="1">
      <alignment vertical="center"/>
    </xf>
    <xf numFmtId="0" fontId="2" fillId="19" borderId="0" xfId="3" applyFill="1" applyAlignment="1" applyProtection="1">
      <alignment vertical="center"/>
    </xf>
    <xf numFmtId="0" fontId="2" fillId="54" borderId="0" xfId="3" applyFill="1" applyAlignment="1" applyProtection="1">
      <alignment vertical="center"/>
    </xf>
    <xf numFmtId="0" fontId="2" fillId="47" borderId="0" xfId="3" applyFill="1" applyAlignment="1" applyProtection="1">
      <alignment vertical="center"/>
    </xf>
    <xf numFmtId="0" fontId="48" fillId="19" borderId="0" xfId="0" applyFont="1" applyFill="1" applyAlignment="1">
      <alignment vertical="center"/>
    </xf>
    <xf numFmtId="0" fontId="2" fillId="19" borderId="0" xfId="3" applyFill="1" applyBorder="1" applyAlignment="1" applyProtection="1">
      <alignment vertical="center"/>
    </xf>
    <xf numFmtId="10" fontId="3" fillId="9" borderId="58" xfId="0" applyNumberFormat="1" applyFont="1" applyFill="1" applyBorder="1" applyAlignment="1" applyProtection="1">
      <alignment shrinkToFit="1"/>
    </xf>
    <xf numFmtId="0" fontId="0" fillId="0" borderId="0" xfId="0" applyProtection="1"/>
    <xf numFmtId="0" fontId="113" fillId="3" borderId="0" xfId="0" applyFont="1" applyFill="1" applyAlignment="1" applyProtection="1">
      <alignment horizontal="center"/>
    </xf>
    <xf numFmtId="0" fontId="0" fillId="3" borderId="0" xfId="0" applyFill="1" applyProtection="1"/>
    <xf numFmtId="0" fontId="8" fillId="3" borderId="0" xfId="0" applyFont="1" applyFill="1" applyProtection="1"/>
    <xf numFmtId="0" fontId="5" fillId="3" borderId="0" xfId="0" applyFont="1" applyFill="1" applyProtection="1"/>
    <xf numFmtId="0" fontId="105" fillId="3" borderId="0" xfId="0" applyFont="1" applyFill="1" applyProtection="1"/>
    <xf numFmtId="0" fontId="0" fillId="3" borderId="77" xfId="0" applyFill="1" applyBorder="1" applyAlignment="1" applyProtection="1">
      <alignment horizontal="left" shrinkToFit="1"/>
    </xf>
    <xf numFmtId="0" fontId="0" fillId="3" borderId="0" xfId="0" applyFill="1" applyAlignment="1" applyProtection="1">
      <alignment shrinkToFit="1"/>
    </xf>
    <xf numFmtId="0" fontId="105" fillId="49" borderId="77" xfId="0" applyFont="1" applyFill="1" applyBorder="1" applyAlignment="1" applyProtection="1">
      <alignment horizontal="center" vertical="center" shrinkToFit="1"/>
    </xf>
    <xf numFmtId="0" fontId="105" fillId="49" borderId="44" xfId="0" applyFont="1" applyFill="1" applyBorder="1" applyAlignment="1" applyProtection="1">
      <alignment horizontal="center" vertical="center" shrinkToFit="1"/>
    </xf>
    <xf numFmtId="0" fontId="4" fillId="3" borderId="45" xfId="0" applyFont="1" applyFill="1" applyBorder="1" applyAlignment="1" applyProtection="1">
      <alignment horizontal="left" shrinkToFit="1"/>
    </xf>
    <xf numFmtId="0" fontId="105" fillId="49" borderId="78" xfId="0" applyFont="1" applyFill="1" applyBorder="1" applyAlignment="1" applyProtection="1">
      <alignment horizontal="center" vertical="center" shrinkToFit="1"/>
    </xf>
    <xf numFmtId="0" fontId="105" fillId="49" borderId="45" xfId="0" applyFont="1" applyFill="1" applyBorder="1" applyAlignment="1" applyProtection="1">
      <alignment horizontal="center" vertical="center" shrinkToFit="1"/>
    </xf>
    <xf numFmtId="0" fontId="0" fillId="3" borderId="42" xfId="0" applyFill="1" applyBorder="1" applyAlignment="1" applyProtection="1">
      <alignment horizontal="center" shrinkToFit="1"/>
    </xf>
    <xf numFmtId="0" fontId="4" fillId="19" borderId="229" xfId="0" applyFont="1" applyFill="1" applyBorder="1" applyAlignment="1" applyProtection="1">
      <alignment horizontal="left" shrinkToFit="1"/>
    </xf>
    <xf numFmtId="0" fontId="105" fillId="49" borderId="78" xfId="0" applyFont="1" applyFill="1" applyBorder="1" applyAlignment="1" applyProtection="1">
      <alignment shrinkToFit="1"/>
    </xf>
    <xf numFmtId="0" fontId="3" fillId="14" borderId="79" xfId="0" applyFont="1" applyFill="1" applyBorder="1" applyAlignment="1" applyProtection="1">
      <alignment horizontal="center" shrinkToFit="1"/>
    </xf>
    <xf numFmtId="0" fontId="3" fillId="14" borderId="80" xfId="0" applyFont="1" applyFill="1" applyBorder="1" applyAlignment="1" applyProtection="1">
      <alignment horizontal="center" shrinkToFit="1"/>
    </xf>
    <xf numFmtId="0" fontId="105" fillId="49" borderId="45" xfId="0" applyFont="1" applyFill="1" applyBorder="1" applyAlignment="1" applyProtection="1">
      <alignment shrinkToFit="1"/>
    </xf>
    <xf numFmtId="0" fontId="3" fillId="4" borderId="81" xfId="0" applyFont="1" applyFill="1" applyBorder="1" applyAlignment="1" applyProtection="1">
      <alignment horizontal="center" shrinkToFit="1"/>
    </xf>
    <xf numFmtId="0" fontId="3" fillId="4" borderId="82" xfId="0" applyFont="1" applyFill="1" applyBorder="1" applyAlignment="1" applyProtection="1">
      <alignment horizontal="center" shrinkToFit="1"/>
    </xf>
    <xf numFmtId="0" fontId="0" fillId="3" borderId="30" xfId="0" applyFill="1" applyBorder="1" applyProtection="1"/>
    <xf numFmtId="0" fontId="0" fillId="3" borderId="32" xfId="0" applyFill="1" applyBorder="1" applyProtection="1"/>
    <xf numFmtId="0" fontId="7" fillId="3" borderId="83" xfId="0" applyFont="1" applyFill="1" applyBorder="1" applyAlignment="1" applyProtection="1">
      <alignment horizontal="center"/>
    </xf>
    <xf numFmtId="0" fontId="7" fillId="3" borderId="84" xfId="0" applyFont="1" applyFill="1" applyBorder="1" applyAlignment="1" applyProtection="1">
      <alignment horizontal="center"/>
    </xf>
    <xf numFmtId="0" fontId="0" fillId="3" borderId="85" xfId="0" applyFill="1" applyBorder="1" applyAlignment="1" applyProtection="1">
      <alignment horizontal="center" shrinkToFit="1"/>
    </xf>
    <xf numFmtId="0" fontId="3" fillId="9" borderId="0" xfId="0" applyFont="1" applyFill="1" applyAlignment="1" applyProtection="1">
      <alignment horizontal="center" shrinkToFit="1"/>
    </xf>
    <xf numFmtId="0" fontId="3" fillId="12" borderId="0" xfId="0" applyFont="1" applyFill="1" applyAlignment="1" applyProtection="1">
      <alignment horizontal="center" shrinkToFit="1"/>
    </xf>
    <xf numFmtId="0" fontId="3" fillId="15" borderId="0" xfId="0" applyFont="1" applyFill="1" applyAlignment="1" applyProtection="1">
      <alignment horizontal="center" shrinkToFit="1"/>
    </xf>
    <xf numFmtId="0" fontId="3" fillId="16" borderId="0" xfId="0" applyFont="1" applyFill="1" applyBorder="1" applyAlignment="1" applyProtection="1">
      <alignment horizontal="center" shrinkToFit="1"/>
    </xf>
    <xf numFmtId="0" fontId="3" fillId="16" borderId="86" xfId="0" applyFont="1" applyFill="1" applyBorder="1" applyAlignment="1" applyProtection="1">
      <alignment horizontal="center" shrinkToFit="1"/>
    </xf>
    <xf numFmtId="0" fontId="3" fillId="2" borderId="0" xfId="0" applyFont="1" applyFill="1" applyAlignment="1" applyProtection="1">
      <alignment horizontal="center" shrinkToFit="1"/>
    </xf>
    <xf numFmtId="0" fontId="3" fillId="50" borderId="87" xfId="0" applyFont="1" applyFill="1" applyBorder="1" applyAlignment="1" applyProtection="1">
      <alignment horizontal="center" shrinkToFit="1"/>
    </xf>
    <xf numFmtId="0" fontId="3" fillId="14" borderId="39" xfId="0" applyFont="1" applyFill="1" applyBorder="1" applyAlignment="1" applyProtection="1">
      <alignment horizontal="center" shrinkToFit="1"/>
    </xf>
    <xf numFmtId="0" fontId="3" fillId="14" borderId="88" xfId="0" applyFont="1" applyFill="1" applyBorder="1" applyAlignment="1" applyProtection="1">
      <alignment horizontal="center" shrinkToFit="1"/>
    </xf>
    <xf numFmtId="0" fontId="3" fillId="4" borderId="89" xfId="0" applyFont="1" applyFill="1" applyBorder="1" applyAlignment="1" applyProtection="1">
      <alignment horizontal="center" shrinkToFit="1"/>
    </xf>
    <xf numFmtId="0" fontId="3" fillId="4" borderId="90" xfId="0" applyFont="1" applyFill="1" applyBorder="1" applyAlignment="1" applyProtection="1">
      <alignment horizontal="center" shrinkToFit="1"/>
    </xf>
    <xf numFmtId="0" fontId="5" fillId="3" borderId="33" xfId="0" applyFont="1" applyFill="1" applyBorder="1" applyProtection="1"/>
    <xf numFmtId="0" fontId="0" fillId="3" borderId="34" xfId="0" applyFill="1" applyBorder="1" applyProtection="1"/>
    <xf numFmtId="0" fontId="7" fillId="3" borderId="91" xfId="0" applyFont="1" applyFill="1" applyBorder="1" applyAlignment="1" applyProtection="1">
      <alignment horizontal="center"/>
    </xf>
    <xf numFmtId="0" fontId="7" fillId="3" borderId="92" xfId="0" applyFont="1" applyFill="1" applyBorder="1" applyAlignment="1" applyProtection="1">
      <alignment horizontal="center"/>
    </xf>
    <xf numFmtId="0" fontId="0" fillId="3" borderId="93" xfId="0" applyFill="1" applyBorder="1" applyAlignment="1" applyProtection="1">
      <alignment horizontal="center" shrinkToFit="1"/>
    </xf>
    <xf numFmtId="0" fontId="105" fillId="49" borderId="94" xfId="0" applyFont="1" applyFill="1" applyBorder="1" applyAlignment="1" applyProtection="1">
      <alignment shrinkToFit="1"/>
    </xf>
    <xf numFmtId="0" fontId="3" fillId="2" borderId="95" xfId="0" applyFont="1" applyFill="1" applyBorder="1" applyAlignment="1" applyProtection="1">
      <alignment horizontal="center" shrinkToFit="1"/>
    </xf>
    <xf numFmtId="0" fontId="3" fillId="14" borderId="0" xfId="0" applyFont="1" applyFill="1" applyBorder="1" applyAlignment="1" applyProtection="1">
      <alignment horizontal="center" shrinkToFit="1"/>
    </xf>
    <xf numFmtId="0" fontId="3" fillId="14" borderId="96" xfId="0" applyFont="1" applyFill="1" applyBorder="1" applyAlignment="1" applyProtection="1">
      <alignment horizontal="center" shrinkToFit="1"/>
    </xf>
    <xf numFmtId="0" fontId="105" fillId="49" borderId="47" xfId="0" applyFont="1" applyFill="1" applyBorder="1" applyAlignment="1" applyProtection="1">
      <alignment shrinkToFit="1"/>
    </xf>
    <xf numFmtId="165" fontId="3" fillId="4" borderId="89" xfId="0" applyNumberFormat="1" applyFont="1" applyFill="1" applyBorder="1" applyAlignment="1" applyProtection="1">
      <alignment horizontal="center" shrinkToFit="1"/>
    </xf>
    <xf numFmtId="0" fontId="3" fillId="4" borderId="97" xfId="0" applyFont="1" applyFill="1" applyBorder="1" applyAlignment="1" applyProtection="1">
      <alignment horizontal="center" shrinkToFit="1"/>
    </xf>
    <xf numFmtId="234" fontId="3" fillId="9" borderId="97" xfId="0" applyNumberFormat="1" applyFont="1" applyFill="1" applyBorder="1" applyAlignment="1" applyProtection="1">
      <alignment horizontal="center" shrinkToFit="1"/>
    </xf>
    <xf numFmtId="235" fontId="3" fillId="4" borderId="98" xfId="0" applyNumberFormat="1" applyFont="1" applyFill="1" applyBorder="1" applyAlignment="1" applyProtection="1">
      <alignment horizontal="center" shrinkToFit="1"/>
    </xf>
    <xf numFmtId="234" fontId="3" fillId="4" borderId="97" xfId="0" applyNumberFormat="1" applyFont="1" applyFill="1" applyBorder="1" applyAlignment="1" applyProtection="1">
      <alignment horizontal="center" shrinkToFit="1"/>
    </xf>
    <xf numFmtId="0" fontId="5" fillId="3" borderId="34" xfId="0" applyFont="1" applyFill="1" applyBorder="1" applyAlignment="1" applyProtection="1">
      <alignment shrinkToFit="1"/>
    </xf>
    <xf numFmtId="0" fontId="0" fillId="3" borderId="99" xfId="0" applyFill="1" applyBorder="1" applyAlignment="1" applyProtection="1">
      <alignment horizontal="left" shrinkToFit="1"/>
    </xf>
    <xf numFmtId="165" fontId="3" fillId="9" borderId="0" xfId="0" applyNumberFormat="1" applyFont="1" applyFill="1" applyAlignment="1" applyProtection="1">
      <alignment shrinkToFit="1"/>
    </xf>
    <xf numFmtId="214" fontId="0" fillId="3" borderId="100" xfId="0" applyNumberFormat="1" applyFill="1" applyBorder="1" applyAlignment="1" applyProtection="1">
      <alignment horizontal="center" shrinkToFit="1"/>
    </xf>
    <xf numFmtId="165" fontId="3" fillId="12" borderId="0" xfId="0" applyNumberFormat="1" applyFont="1" applyFill="1" applyAlignment="1" applyProtection="1">
      <alignment shrinkToFit="1"/>
    </xf>
    <xf numFmtId="214" fontId="0" fillId="3" borderId="101" xfId="0" applyNumberFormat="1" applyFill="1" applyBorder="1" applyAlignment="1" applyProtection="1">
      <alignment horizontal="center" shrinkToFit="1"/>
    </xf>
    <xf numFmtId="165" fontId="3" fillId="15" borderId="0" xfId="0" applyNumberFormat="1" applyFont="1" applyFill="1" applyAlignment="1" applyProtection="1">
      <alignment shrinkToFit="1"/>
    </xf>
    <xf numFmtId="214" fontId="0" fillId="3" borderId="102" xfId="0" applyNumberFormat="1" applyFill="1" applyBorder="1" applyAlignment="1" applyProtection="1">
      <alignment horizontal="center" shrinkToFit="1"/>
    </xf>
    <xf numFmtId="165" fontId="3" fillId="16" borderId="0" xfId="0" applyNumberFormat="1" applyFont="1" applyFill="1" applyAlignment="1" applyProtection="1">
      <alignment shrinkToFit="1"/>
    </xf>
    <xf numFmtId="214" fontId="0" fillId="16" borderId="103" xfId="0" applyNumberFormat="1" applyFill="1" applyBorder="1" applyAlignment="1" applyProtection="1">
      <alignment horizontal="center" shrinkToFit="1"/>
    </xf>
    <xf numFmtId="165" fontId="3" fillId="2" borderId="0" xfId="0" applyNumberFormat="1" applyFont="1" applyFill="1" applyAlignment="1" applyProtection="1">
      <alignment shrinkToFit="1"/>
    </xf>
    <xf numFmtId="214" fontId="0" fillId="3" borderId="104" xfId="0" applyNumberFormat="1" applyFill="1" applyBorder="1" applyAlignment="1" applyProtection="1">
      <alignment horizontal="center" shrinkToFit="1"/>
    </xf>
    <xf numFmtId="165" fontId="3" fillId="14" borderId="0" xfId="0" applyNumberFormat="1" applyFont="1" applyFill="1" applyAlignment="1" applyProtection="1">
      <alignment shrinkToFit="1"/>
    </xf>
    <xf numFmtId="214" fontId="0" fillId="14" borderId="105" xfId="0" applyNumberFormat="1" applyFill="1" applyBorder="1" applyAlignment="1" applyProtection="1">
      <alignment horizontal="center" shrinkToFit="1"/>
    </xf>
    <xf numFmtId="3" fontId="3" fillId="4" borderId="97" xfId="0" applyNumberFormat="1" applyFont="1" applyFill="1" applyBorder="1" applyAlignment="1" applyProtection="1">
      <alignment horizontal="center" shrinkToFit="1"/>
    </xf>
    <xf numFmtId="165" fontId="3" fillId="4" borderId="97" xfId="0" applyNumberFormat="1" applyFont="1" applyFill="1" applyBorder="1" applyAlignment="1" applyProtection="1">
      <alignment shrinkToFit="1"/>
    </xf>
    <xf numFmtId="165" fontId="3" fillId="4" borderId="98" xfId="0" applyNumberFormat="1" applyFont="1" applyFill="1" applyBorder="1" applyAlignment="1" applyProtection="1">
      <alignment shrinkToFit="1"/>
    </xf>
    <xf numFmtId="165" fontId="3" fillId="4" borderId="106" xfId="0" applyNumberFormat="1" applyFont="1" applyFill="1" applyBorder="1" applyAlignment="1" applyProtection="1">
      <alignment shrinkToFit="1"/>
    </xf>
    <xf numFmtId="165" fontId="3" fillId="4" borderId="107" xfId="0" applyNumberFormat="1" applyFont="1" applyFill="1" applyBorder="1" applyAlignment="1" applyProtection="1">
      <alignment shrinkToFit="1"/>
    </xf>
    <xf numFmtId="165" fontId="3" fillId="4" borderId="63" xfId="0" applyNumberFormat="1" applyFont="1" applyFill="1" applyBorder="1" applyAlignment="1" applyProtection="1">
      <alignment shrinkToFit="1"/>
    </xf>
    <xf numFmtId="214" fontId="0" fillId="3" borderId="103" xfId="0" applyNumberFormat="1" applyFill="1" applyBorder="1" applyAlignment="1" applyProtection="1">
      <alignment horizontal="center" shrinkToFit="1"/>
    </xf>
    <xf numFmtId="3" fontId="0" fillId="3" borderId="97" xfId="0" applyNumberFormat="1" applyFill="1" applyBorder="1" applyAlignment="1" applyProtection="1">
      <alignment horizontal="center" shrinkToFit="1"/>
    </xf>
    <xf numFmtId="214" fontId="0" fillId="3" borderId="97" xfId="0" applyNumberFormat="1" applyFill="1" applyBorder="1" applyAlignment="1" applyProtection="1">
      <alignment horizontal="center" shrinkToFit="1"/>
    </xf>
    <xf numFmtId="208" fontId="0" fillId="4" borderId="97" xfId="0" applyNumberFormat="1" applyFill="1" applyBorder="1" applyAlignment="1" applyProtection="1">
      <alignment horizontal="center" shrinkToFit="1"/>
    </xf>
    <xf numFmtId="208" fontId="0" fillId="4" borderId="98" xfId="0" applyNumberFormat="1" applyFill="1" applyBorder="1" applyAlignment="1" applyProtection="1">
      <alignment horizontal="center" shrinkToFit="1"/>
    </xf>
    <xf numFmtId="214" fontId="0" fillId="3" borderId="106" xfId="0" applyNumberFormat="1" applyFill="1" applyBorder="1" applyAlignment="1" applyProtection="1">
      <alignment horizontal="center" shrinkToFit="1"/>
    </xf>
    <xf numFmtId="214" fontId="0" fillId="3" borderId="107" xfId="0" applyNumberFormat="1" applyFill="1" applyBorder="1" applyAlignment="1" applyProtection="1">
      <alignment horizontal="center" shrinkToFit="1"/>
    </xf>
    <xf numFmtId="214" fontId="0" fillId="3" borderId="105" xfId="0" applyNumberFormat="1" applyFill="1" applyBorder="1" applyAlignment="1" applyProtection="1">
      <alignment horizontal="center" shrinkToFit="1"/>
    </xf>
    <xf numFmtId="208" fontId="0" fillId="3" borderId="97" xfId="0" applyNumberFormat="1" applyFill="1" applyBorder="1" applyAlignment="1" applyProtection="1">
      <alignment horizontal="center" shrinkToFit="1"/>
    </xf>
    <xf numFmtId="208" fontId="0" fillId="3" borderId="98" xfId="0" applyNumberFormat="1" applyFill="1" applyBorder="1" applyAlignment="1" applyProtection="1">
      <alignment horizontal="center" shrinkToFit="1"/>
    </xf>
    <xf numFmtId="208" fontId="0" fillId="3" borderId="106" xfId="0" applyNumberFormat="1" applyFill="1" applyBorder="1" applyAlignment="1" applyProtection="1">
      <alignment horizontal="center" shrinkToFit="1"/>
    </xf>
    <xf numFmtId="208" fontId="0" fillId="3" borderId="107" xfId="0" applyNumberFormat="1" applyFill="1" applyBorder="1" applyAlignment="1" applyProtection="1">
      <alignment horizontal="center" shrinkToFit="1"/>
    </xf>
    <xf numFmtId="214" fontId="0" fillId="3" borderId="108" xfId="0" applyNumberFormat="1" applyFill="1" applyBorder="1" applyAlignment="1" applyProtection="1">
      <alignment horizontal="center" shrinkToFit="1"/>
    </xf>
    <xf numFmtId="214" fontId="0" fillId="3" borderId="109" xfId="0" applyNumberFormat="1" applyFill="1" applyBorder="1" applyAlignment="1" applyProtection="1">
      <alignment horizontal="center" shrinkToFit="1"/>
    </xf>
    <xf numFmtId="214" fontId="0" fillId="3" borderId="110" xfId="0" applyNumberFormat="1" applyFill="1" applyBorder="1" applyAlignment="1" applyProtection="1">
      <alignment horizontal="center" shrinkToFit="1"/>
    </xf>
    <xf numFmtId="214" fontId="0" fillId="3" borderId="111" xfId="0" applyNumberFormat="1" applyFill="1" applyBorder="1" applyAlignment="1" applyProtection="1">
      <alignment horizontal="center" shrinkToFit="1"/>
    </xf>
    <xf numFmtId="214" fontId="0" fillId="3" borderId="112" xfId="0" applyNumberFormat="1" applyFill="1" applyBorder="1" applyAlignment="1" applyProtection="1">
      <alignment horizontal="center" shrinkToFit="1"/>
    </xf>
    <xf numFmtId="0" fontId="5" fillId="3" borderId="99" xfId="0" applyFont="1" applyFill="1" applyBorder="1" applyAlignment="1" applyProtection="1">
      <alignment horizontal="left" shrinkToFit="1"/>
    </xf>
    <xf numFmtId="208" fontId="0" fillId="3" borderId="89" xfId="0" applyNumberFormat="1" applyFill="1" applyBorder="1" applyAlignment="1" applyProtection="1">
      <alignment horizontal="center" shrinkToFit="1"/>
    </xf>
    <xf numFmtId="165" fontId="3" fillId="4" borderId="113" xfId="0" applyNumberFormat="1" applyFont="1" applyFill="1" applyBorder="1" applyAlignment="1" applyProtection="1">
      <alignment shrinkToFit="1"/>
    </xf>
    <xf numFmtId="0" fontId="5" fillId="33" borderId="99" xfId="0" applyFont="1" applyFill="1" applyBorder="1" applyAlignment="1" applyProtection="1">
      <alignment horizontal="left" shrinkToFit="1"/>
    </xf>
    <xf numFmtId="10" fontId="3" fillId="9" borderId="0" xfId="0" applyNumberFormat="1" applyFont="1" applyFill="1" applyAlignment="1" applyProtection="1">
      <alignment shrinkToFit="1"/>
    </xf>
    <xf numFmtId="214" fontId="0" fillId="33" borderId="114" xfId="0" applyNumberFormat="1" applyFill="1" applyBorder="1" applyAlignment="1" applyProtection="1">
      <alignment horizontal="center" shrinkToFit="1"/>
    </xf>
    <xf numFmtId="214" fontId="0" fillId="33" borderId="115" xfId="0" applyNumberFormat="1" applyFill="1" applyBorder="1" applyAlignment="1" applyProtection="1">
      <alignment horizontal="center" shrinkToFit="1"/>
    </xf>
    <xf numFmtId="214" fontId="5" fillId="33" borderId="230" xfId="0" applyNumberFormat="1" applyFont="1" applyFill="1" applyBorder="1" applyAlignment="1" applyProtection="1">
      <alignment horizontal="center" shrinkToFit="1"/>
    </xf>
    <xf numFmtId="214" fontId="0" fillId="33" borderId="116" xfId="0" applyNumberFormat="1" applyFill="1" applyBorder="1" applyAlignment="1" applyProtection="1">
      <alignment horizontal="center" shrinkToFit="1"/>
    </xf>
    <xf numFmtId="214" fontId="0" fillId="33" borderId="117" xfId="0" applyNumberFormat="1" applyFill="1" applyBorder="1" applyAlignment="1" applyProtection="1">
      <alignment horizontal="center" shrinkToFit="1"/>
    </xf>
    <xf numFmtId="3" fontId="105" fillId="49" borderId="118" xfId="0" applyNumberFormat="1" applyFont="1" applyFill="1" applyBorder="1" applyAlignment="1" applyProtection="1">
      <alignment horizontal="center" shrinkToFit="1"/>
    </xf>
    <xf numFmtId="236" fontId="0" fillId="3" borderId="113" xfId="0" applyNumberFormat="1" applyFill="1" applyBorder="1" applyProtection="1"/>
    <xf numFmtId="214" fontId="0" fillId="33" borderId="108" xfId="0" applyNumberFormat="1" applyFill="1" applyBorder="1" applyAlignment="1" applyProtection="1">
      <alignment horizontal="center" shrinkToFit="1"/>
    </xf>
    <xf numFmtId="165" fontId="3" fillId="15" borderId="0" xfId="0" applyNumberFormat="1" applyFont="1" applyFill="1" applyAlignment="1" applyProtection="1">
      <alignment horizontal="center" shrinkToFit="1"/>
    </xf>
    <xf numFmtId="214" fontId="5" fillId="33" borderId="231" xfId="0" applyNumberFormat="1" applyFont="1" applyFill="1" applyBorder="1" applyAlignment="1" applyProtection="1">
      <alignment horizontal="center" shrinkToFit="1"/>
    </xf>
    <xf numFmtId="214" fontId="0" fillId="33" borderId="110" xfId="0" applyNumberFormat="1" applyFill="1" applyBorder="1" applyAlignment="1" applyProtection="1">
      <alignment horizontal="center" shrinkToFit="1"/>
    </xf>
    <xf numFmtId="214" fontId="0" fillId="33" borderId="111" xfId="0" applyNumberFormat="1" applyFill="1" applyBorder="1" applyAlignment="1" applyProtection="1">
      <alignment horizontal="center" shrinkToFit="1"/>
    </xf>
    <xf numFmtId="214" fontId="5" fillId="33" borderId="232" xfId="0" applyNumberFormat="1" applyFont="1" applyFill="1" applyBorder="1" applyAlignment="1" applyProtection="1">
      <alignment horizontal="center" shrinkToFit="1"/>
    </xf>
    <xf numFmtId="0" fontId="5" fillId="51" borderId="99" xfId="0" applyFont="1" applyFill="1" applyBorder="1" applyAlignment="1" applyProtection="1">
      <alignment horizontal="left" shrinkToFit="1"/>
    </xf>
    <xf numFmtId="214" fontId="0" fillId="51" borderId="108" xfId="0" applyNumberFormat="1" applyFill="1" applyBorder="1" applyAlignment="1" applyProtection="1">
      <alignment horizontal="center" shrinkToFit="1"/>
    </xf>
    <xf numFmtId="214" fontId="5" fillId="51" borderId="232" xfId="0" applyNumberFormat="1" applyFont="1" applyFill="1" applyBorder="1" applyAlignment="1" applyProtection="1">
      <alignment horizontal="center" shrinkToFit="1"/>
    </xf>
    <xf numFmtId="214" fontId="0" fillId="51" borderId="110" xfId="0" applyNumberFormat="1" applyFill="1" applyBorder="1" applyAlignment="1" applyProtection="1">
      <alignment horizontal="center" shrinkToFit="1"/>
    </xf>
    <xf numFmtId="214" fontId="105" fillId="49" borderId="118" xfId="0" applyNumberFormat="1" applyFont="1" applyFill="1" applyBorder="1" applyAlignment="1" applyProtection="1">
      <alignment horizontal="center" shrinkToFit="1"/>
    </xf>
    <xf numFmtId="214" fontId="105" fillId="49" borderId="119" xfId="0" applyNumberFormat="1" applyFont="1" applyFill="1" applyBorder="1" applyAlignment="1" applyProtection="1">
      <alignment horizontal="center" shrinkToFit="1"/>
    </xf>
    <xf numFmtId="10" fontId="3" fillId="12" borderId="0" xfId="0" applyNumberFormat="1" applyFont="1" applyFill="1" applyAlignment="1" applyProtection="1">
      <alignment shrinkToFit="1"/>
    </xf>
    <xf numFmtId="10" fontId="3" fillId="15" borderId="0" xfId="0" applyNumberFormat="1" applyFont="1" applyFill="1" applyAlignment="1" applyProtection="1">
      <alignment horizontal="center" shrinkToFit="1"/>
    </xf>
    <xf numFmtId="10" fontId="3" fillId="16" borderId="0" xfId="0" applyNumberFormat="1" applyFont="1" applyFill="1" applyAlignment="1" applyProtection="1">
      <alignment shrinkToFit="1"/>
    </xf>
    <xf numFmtId="214" fontId="105" fillId="49" borderId="120" xfId="0" applyNumberFormat="1" applyFont="1" applyFill="1" applyBorder="1" applyAlignment="1" applyProtection="1">
      <alignment horizontal="center" shrinkToFit="1"/>
    </xf>
    <xf numFmtId="10" fontId="3" fillId="2" borderId="0" xfId="0" applyNumberFormat="1" applyFont="1" applyFill="1" applyAlignment="1" applyProtection="1">
      <alignment shrinkToFit="1"/>
    </xf>
    <xf numFmtId="214" fontId="0" fillId="51" borderId="131" xfId="0" applyNumberFormat="1" applyFill="1" applyBorder="1" applyAlignment="1" applyProtection="1">
      <alignment horizontal="center" shrinkToFit="1"/>
    </xf>
    <xf numFmtId="0" fontId="0" fillId="3" borderId="0" xfId="0" applyFill="1" applyAlignment="1" applyProtection="1">
      <alignment horizontal="center"/>
    </xf>
    <xf numFmtId="3" fontId="105" fillId="3" borderId="0" xfId="0" applyNumberFormat="1" applyFont="1" applyFill="1" applyProtection="1"/>
    <xf numFmtId="0" fontId="76" fillId="3" borderId="0" xfId="0" applyFont="1" applyFill="1" applyAlignment="1" applyProtection="1">
      <alignment horizontal="right" vertical="center"/>
    </xf>
    <xf numFmtId="0" fontId="3" fillId="3" borderId="0" xfId="0" applyFont="1" applyFill="1" applyAlignment="1" applyProtection="1">
      <alignment horizontal="left" vertical="center"/>
    </xf>
    <xf numFmtId="0" fontId="77" fillId="3" borderId="0" xfId="0" applyFont="1" applyFill="1" applyAlignment="1" applyProtection="1">
      <alignment horizontal="left" vertical="center"/>
    </xf>
    <xf numFmtId="0" fontId="55" fillId="3" borderId="0" xfId="0" applyFont="1" applyFill="1" applyAlignment="1" applyProtection="1">
      <alignment horizontal="left" vertical="center"/>
    </xf>
    <xf numFmtId="0" fontId="0" fillId="3" borderId="0" xfId="0" applyFill="1" applyAlignment="1" applyProtection="1">
      <alignment horizontal="left" vertical="center"/>
    </xf>
    <xf numFmtId="0" fontId="105" fillId="3" borderId="0" xfId="0" applyFont="1" applyFill="1" applyAlignment="1" applyProtection="1">
      <alignment horizontal="left" vertical="center"/>
    </xf>
    <xf numFmtId="0" fontId="5" fillId="3" borderId="0" xfId="0" applyFont="1" applyFill="1" applyAlignment="1" applyProtection="1">
      <alignment horizontal="left" vertical="center"/>
    </xf>
    <xf numFmtId="0" fontId="11" fillId="3" borderId="63" xfId="0" applyFont="1" applyFill="1" applyBorder="1" applyAlignment="1" applyProtection="1">
      <alignment horizontal="center" vertical="center" shrinkToFit="1"/>
    </xf>
    <xf numFmtId="0" fontId="5" fillId="3" borderId="31" xfId="0" applyFont="1" applyFill="1" applyBorder="1" applyAlignment="1" applyProtection="1">
      <alignment horizontal="left" vertical="center"/>
    </xf>
    <xf numFmtId="0" fontId="0" fillId="3" borderId="31" xfId="0" applyFill="1" applyBorder="1" applyAlignment="1" applyProtection="1">
      <alignment horizontal="left" vertical="center"/>
    </xf>
    <xf numFmtId="0" fontId="0" fillId="3" borderId="32" xfId="0" applyFill="1" applyBorder="1" applyAlignment="1" applyProtection="1">
      <alignment horizontal="left" vertical="center"/>
    </xf>
    <xf numFmtId="225" fontId="0" fillId="3" borderId="31" xfId="0" applyNumberFormat="1" applyFill="1" applyBorder="1" applyAlignment="1" applyProtection="1">
      <alignment horizontal="center" vertical="center" shrinkToFit="1"/>
    </xf>
    <xf numFmtId="0" fontId="114" fillId="3" borderId="0" xfId="0" applyFont="1" applyFill="1" applyBorder="1" applyAlignment="1" applyProtection="1">
      <alignment horizontal="left" vertical="center"/>
    </xf>
    <xf numFmtId="0" fontId="114" fillId="3" borderId="34" xfId="0" applyFont="1" applyFill="1" applyBorder="1" applyAlignment="1" applyProtection="1">
      <alignment horizontal="left" vertical="center"/>
    </xf>
    <xf numFmtId="225" fontId="114" fillId="3" borderId="0" xfId="0" applyNumberFormat="1" applyFont="1" applyFill="1" applyBorder="1" applyAlignment="1" applyProtection="1">
      <alignment horizontal="center" vertical="center" shrinkToFit="1"/>
    </xf>
    <xf numFmtId="0" fontId="114" fillId="3" borderId="9" xfId="0" applyFont="1" applyFill="1" applyBorder="1" applyAlignment="1" applyProtection="1">
      <alignment horizontal="left" vertical="center"/>
    </xf>
    <xf numFmtId="0" fontId="114" fillId="3" borderId="11" xfId="0" applyFont="1" applyFill="1" applyBorder="1" applyAlignment="1" applyProtection="1">
      <alignment horizontal="left" vertical="center"/>
    </xf>
    <xf numFmtId="225" fontId="114" fillId="3" borderId="9" xfId="0" applyNumberFormat="1" applyFont="1" applyFill="1" applyBorder="1" applyAlignment="1" applyProtection="1">
      <alignment horizontal="center" vertical="center" shrinkToFit="1"/>
    </xf>
    <xf numFmtId="0" fontId="98" fillId="3" borderId="0" xfId="0" applyFont="1" applyFill="1" applyAlignment="1" applyProtection="1">
      <alignment horizontal="left" vertical="center"/>
    </xf>
    <xf numFmtId="0" fontId="5" fillId="3" borderId="0" xfId="0" quotePrefix="1" applyFont="1" applyFill="1" applyAlignment="1" applyProtection="1">
      <alignment horizontal="left" vertical="center"/>
    </xf>
    <xf numFmtId="0" fontId="0" fillId="3" borderId="0" xfId="0" applyFill="1" applyAlignment="1" applyProtection="1">
      <alignment horizontal="left" vertical="center" shrinkToFit="1"/>
    </xf>
    <xf numFmtId="225" fontId="0" fillId="3" borderId="0" xfId="0" applyNumberFormat="1" applyFill="1" applyBorder="1" applyAlignment="1" applyProtection="1">
      <alignment horizontal="center" vertical="center" shrinkToFit="1"/>
    </xf>
    <xf numFmtId="0" fontId="5" fillId="3" borderId="9" xfId="0" quotePrefix="1" applyFont="1" applyFill="1" applyBorder="1" applyAlignment="1" applyProtection="1">
      <alignment horizontal="left" vertical="center"/>
    </xf>
    <xf numFmtId="0" fontId="0" fillId="3" borderId="9" xfId="0" applyFill="1" applyBorder="1" applyAlignment="1" applyProtection="1">
      <alignment horizontal="left" vertical="center"/>
    </xf>
    <xf numFmtId="225" fontId="0" fillId="3" borderId="9" xfId="0" applyNumberFormat="1" applyFill="1" applyBorder="1" applyAlignment="1" applyProtection="1">
      <alignment horizontal="center" vertical="center" shrinkToFit="1"/>
    </xf>
    <xf numFmtId="0" fontId="115" fillId="3" borderId="0" xfId="0" applyFont="1" applyFill="1" applyAlignment="1" applyProtection="1">
      <alignment horizontal="center"/>
    </xf>
    <xf numFmtId="0" fontId="89" fillId="3" borderId="9" xfId="0" quotePrefix="1" applyFont="1" applyFill="1" applyBorder="1" applyAlignment="1" applyProtection="1">
      <alignment horizontal="left" vertical="center"/>
    </xf>
    <xf numFmtId="0" fontId="89" fillId="3" borderId="9" xfId="0" applyFont="1" applyFill="1" applyBorder="1" applyAlignment="1" applyProtection="1">
      <alignment horizontal="left" vertical="center"/>
    </xf>
    <xf numFmtId="225" fontId="89" fillId="3" borderId="9" xfId="0" applyNumberFormat="1" applyFont="1" applyFill="1" applyBorder="1" applyAlignment="1" applyProtection="1">
      <alignment horizontal="center" vertical="center" shrinkToFit="1"/>
    </xf>
    <xf numFmtId="0" fontId="89" fillId="3" borderId="0" xfId="0" applyFont="1" applyFill="1" applyAlignment="1" applyProtection="1">
      <alignment horizontal="left" vertical="center"/>
    </xf>
    <xf numFmtId="0" fontId="89" fillId="3" borderId="0" xfId="0" applyFont="1" applyFill="1" applyProtection="1"/>
    <xf numFmtId="0" fontId="89" fillId="0" borderId="0" xfId="0" applyFont="1" applyProtection="1"/>
    <xf numFmtId="237" fontId="0" fillId="3" borderId="33" xfId="0" applyNumberFormat="1" applyFill="1" applyBorder="1" applyAlignment="1" applyProtection="1">
      <alignment vertical="center" shrinkToFit="1"/>
    </xf>
    <xf numFmtId="237" fontId="0" fillId="3" borderId="0" xfId="0" applyNumberFormat="1" applyFill="1" applyBorder="1" applyAlignment="1" applyProtection="1">
      <alignment vertical="center" shrinkToFit="1"/>
    </xf>
    <xf numFmtId="237" fontId="0" fillId="3" borderId="34" xfId="0" applyNumberFormat="1" applyFill="1" applyBorder="1" applyAlignment="1" applyProtection="1">
      <alignment vertical="center" shrinkToFit="1"/>
    </xf>
    <xf numFmtId="225" fontId="0" fillId="3" borderId="33" xfId="0" applyNumberFormat="1" applyFill="1" applyBorder="1" applyAlignment="1" applyProtection="1">
      <alignment horizontal="center" vertical="center" shrinkToFit="1"/>
    </xf>
    <xf numFmtId="225" fontId="0" fillId="3" borderId="34" xfId="0" applyNumberFormat="1" applyFill="1" applyBorder="1" applyAlignment="1" applyProtection="1">
      <alignment horizontal="center" vertical="center" shrinkToFit="1"/>
    </xf>
    <xf numFmtId="237" fontId="0" fillId="3" borderId="33" xfId="0" applyNumberFormat="1" applyFill="1" applyBorder="1" applyAlignment="1" applyProtection="1">
      <alignment horizontal="center" vertical="center" shrinkToFit="1"/>
    </xf>
    <xf numFmtId="237" fontId="0" fillId="3" borderId="0" xfId="0" applyNumberFormat="1" applyFill="1" applyBorder="1" applyAlignment="1" applyProtection="1">
      <alignment horizontal="center" vertical="center" shrinkToFit="1"/>
    </xf>
    <xf numFmtId="237" fontId="0" fillId="3" borderId="34" xfId="0" applyNumberFormat="1" applyFill="1" applyBorder="1" applyAlignment="1" applyProtection="1">
      <alignment horizontal="center" vertical="center" shrinkToFit="1"/>
    </xf>
    <xf numFmtId="0" fontId="7" fillId="0" borderId="0" xfId="0" applyFont="1" applyAlignment="1" applyProtection="1">
      <alignment horizontal="center"/>
    </xf>
    <xf numFmtId="0" fontId="105" fillId="0" borderId="0" xfId="0" applyFont="1" applyProtection="1"/>
    <xf numFmtId="0" fontId="0" fillId="0" borderId="0" xfId="0" applyProtection="1"/>
    <xf numFmtId="0" fontId="121" fillId="19" borderId="0" xfId="0" applyFont="1" applyFill="1" applyAlignment="1">
      <alignment vertical="center"/>
    </xf>
    <xf numFmtId="0" fontId="0" fillId="0" borderId="0" xfId="0" applyProtection="1"/>
    <xf numFmtId="9" fontId="0" fillId="21" borderId="0" xfId="0" applyNumberFormat="1" applyFill="1" applyBorder="1" applyAlignment="1">
      <alignment horizontal="right"/>
    </xf>
    <xf numFmtId="0" fontId="5" fillId="51" borderId="99" xfId="0" applyFont="1" applyFill="1" applyBorder="1" applyAlignment="1">
      <alignment horizontal="left" shrinkToFit="1"/>
    </xf>
    <xf numFmtId="214" fontId="0" fillId="51" borderId="131" xfId="0" applyNumberFormat="1" applyFill="1" applyBorder="1" applyAlignment="1">
      <alignment horizontal="center" shrinkToFit="1"/>
    </xf>
    <xf numFmtId="214" fontId="0" fillId="33" borderId="108" xfId="0" applyNumberFormat="1" applyFill="1" applyBorder="1" applyAlignment="1">
      <alignment horizontal="center" shrinkToFit="1"/>
    </xf>
    <xf numFmtId="10" fontId="3" fillId="12" borderId="0" xfId="0" applyNumberFormat="1" applyFont="1" applyFill="1" applyAlignment="1">
      <alignment shrinkToFit="1"/>
    </xf>
    <xf numFmtId="214" fontId="0" fillId="51" borderId="108" xfId="0" applyNumberFormat="1" applyFill="1" applyBorder="1" applyAlignment="1">
      <alignment horizontal="center" shrinkToFit="1"/>
    </xf>
    <xf numFmtId="10" fontId="3" fillId="15" borderId="0" xfId="0" applyNumberFormat="1" applyFont="1" applyFill="1" applyAlignment="1">
      <alignment horizontal="center" shrinkToFit="1"/>
    </xf>
    <xf numFmtId="214" fontId="5" fillId="51" borderId="232" xfId="0" applyNumberFormat="1" applyFont="1" applyFill="1" applyBorder="1" applyAlignment="1">
      <alignment horizontal="center" shrinkToFit="1"/>
    </xf>
    <xf numFmtId="10" fontId="3" fillId="16" borderId="0" xfId="0" applyNumberFormat="1" applyFont="1" applyFill="1" applyAlignment="1">
      <alignment shrinkToFit="1"/>
    </xf>
    <xf numFmtId="214" fontId="0" fillId="33" borderId="110" xfId="0" applyNumberFormat="1" applyFill="1" applyBorder="1" applyAlignment="1">
      <alignment horizontal="center" shrinkToFit="1"/>
    </xf>
    <xf numFmtId="10" fontId="3" fillId="2" borderId="0" xfId="0" applyNumberFormat="1" applyFont="1" applyFill="1" applyAlignment="1">
      <alignment shrinkToFit="1"/>
    </xf>
    <xf numFmtId="214" fontId="0" fillId="51" borderId="110" xfId="0" applyNumberFormat="1" applyFill="1" applyBorder="1" applyAlignment="1">
      <alignment horizontal="center" shrinkToFit="1"/>
    </xf>
    <xf numFmtId="224" fontId="5" fillId="19" borderId="298" xfId="0" applyNumberFormat="1" applyFont="1" applyFill="1" applyBorder="1" applyAlignment="1" applyProtection="1">
      <alignment horizontal="center" vertical="center"/>
    </xf>
    <xf numFmtId="0" fontId="0" fillId="3" borderId="0" xfId="0" applyFill="1"/>
    <xf numFmtId="0" fontId="5" fillId="3" borderId="0" xfId="0" applyFont="1" applyFill="1"/>
    <xf numFmtId="0" fontId="0" fillId="19" borderId="30" xfId="0" applyFill="1" applyBorder="1"/>
    <xf numFmtId="3" fontId="0" fillId="3" borderId="299" xfId="0" applyNumberFormat="1" applyFill="1" applyBorder="1" applyAlignment="1">
      <alignment horizontal="center" shrinkToFit="1"/>
    </xf>
    <xf numFmtId="3" fontId="0" fillId="3" borderId="82" xfId="0" applyNumberFormat="1" applyFill="1" applyBorder="1" applyAlignment="1">
      <alignment horizontal="center" shrinkToFit="1"/>
    </xf>
    <xf numFmtId="3" fontId="0" fillId="3" borderId="97" xfId="0" applyNumberFormat="1" applyFill="1" applyBorder="1" applyAlignment="1">
      <alignment horizontal="center" shrinkToFit="1"/>
    </xf>
    <xf numFmtId="3" fontId="0" fillId="34" borderId="97" xfId="0" applyNumberFormat="1" applyFill="1" applyBorder="1" applyAlignment="1">
      <alignment horizontal="center" shrinkToFit="1"/>
    </xf>
    <xf numFmtId="3" fontId="0" fillId="3" borderId="89" xfId="0" applyNumberFormat="1" applyFill="1" applyBorder="1" applyAlignment="1">
      <alignment horizontal="center" shrinkToFit="1"/>
    </xf>
    <xf numFmtId="3" fontId="0" fillId="34" borderId="89" xfId="0" applyNumberFormat="1" applyFill="1" applyBorder="1" applyAlignment="1">
      <alignment horizontal="center" shrinkToFit="1"/>
    </xf>
    <xf numFmtId="0" fontId="5" fillId="3" borderId="300" xfId="0" applyFont="1" applyFill="1" applyBorder="1" applyAlignment="1" applyProtection="1">
      <alignment vertical="center"/>
    </xf>
    <xf numFmtId="0" fontId="5" fillId="3" borderId="301" xfId="0" applyFont="1" applyFill="1" applyBorder="1" applyAlignment="1" applyProtection="1">
      <alignment vertical="center"/>
    </xf>
    <xf numFmtId="3" fontId="0" fillId="3" borderId="302" xfId="0" applyNumberFormat="1" applyFill="1" applyBorder="1" applyAlignment="1">
      <alignment horizontal="center" shrinkToFit="1"/>
    </xf>
    <xf numFmtId="3" fontId="0" fillId="3" borderId="303" xfId="0" applyNumberFormat="1" applyFill="1" applyBorder="1" applyAlignment="1">
      <alignment horizontal="center" shrinkToFit="1"/>
    </xf>
    <xf numFmtId="0" fontId="13" fillId="19" borderId="113" xfId="0" applyFont="1" applyFill="1" applyBorder="1" applyAlignment="1">
      <alignment horizontal="center" shrinkToFit="1"/>
    </xf>
    <xf numFmtId="0" fontId="13" fillId="19" borderId="30" xfId="0" applyFont="1" applyFill="1" applyBorder="1"/>
    <xf numFmtId="0" fontId="13" fillId="19" borderId="31" xfId="0" applyFont="1" applyFill="1" applyBorder="1"/>
    <xf numFmtId="0" fontId="13" fillId="19" borderId="32" xfId="0" applyFont="1" applyFill="1" applyBorder="1"/>
    <xf numFmtId="3" fontId="0" fillId="59" borderId="97" xfId="0" applyNumberFormat="1" applyFill="1" applyBorder="1" applyAlignment="1">
      <alignment horizontal="center" shrinkToFit="1"/>
    </xf>
    <xf numFmtId="3" fontId="0" fillId="59" borderId="89" xfId="0" applyNumberFormat="1" applyFill="1" applyBorder="1" applyAlignment="1">
      <alignment horizontal="center" shrinkToFit="1"/>
    </xf>
    <xf numFmtId="219" fontId="15" fillId="42" borderId="63" xfId="0" applyNumberFormat="1" applyFont="1" applyFill="1" applyBorder="1" applyAlignment="1" applyProtection="1">
      <alignment vertical="center"/>
    </xf>
    <xf numFmtId="0" fontId="87" fillId="19" borderId="0" xfId="2" applyFont="1" applyFill="1" applyBorder="1" applyAlignment="1" applyProtection="1">
      <alignment horizontal="center" vertical="center" wrapText="1"/>
    </xf>
    <xf numFmtId="9" fontId="0" fillId="21" borderId="58" xfId="0" applyNumberFormat="1" applyFill="1" applyBorder="1" applyAlignment="1">
      <alignment horizontal="right"/>
    </xf>
    <xf numFmtId="3" fontId="0" fillId="21" borderId="12" xfId="0" applyNumberFormat="1" applyFill="1" applyBorder="1" applyAlignment="1">
      <alignment horizontal="right"/>
    </xf>
    <xf numFmtId="0" fontId="0" fillId="0" borderId="31" xfId="0" applyBorder="1"/>
    <xf numFmtId="9" fontId="0" fillId="21" borderId="31" xfId="0" applyNumberFormat="1" applyFill="1" applyBorder="1" applyAlignment="1">
      <alignment horizontal="right"/>
    </xf>
    <xf numFmtId="3" fontId="0" fillId="21" borderId="32" xfId="0" applyNumberFormat="1" applyFill="1" applyBorder="1" applyAlignment="1">
      <alignment horizontal="right"/>
    </xf>
    <xf numFmtId="3" fontId="0" fillId="21" borderId="34" xfId="0" applyNumberFormat="1" applyFill="1" applyBorder="1" applyAlignment="1">
      <alignment horizontal="right"/>
    </xf>
    <xf numFmtId="3" fontId="0" fillId="21" borderId="9" xfId="0" applyNumberFormat="1" applyFill="1" applyBorder="1" applyAlignment="1">
      <alignment horizontal="right"/>
    </xf>
    <xf numFmtId="3" fontId="87" fillId="42" borderId="0" xfId="0" applyNumberFormat="1" applyFont="1" applyFill="1" applyAlignment="1" applyProtection="1">
      <alignment horizontal="center" vertical="center"/>
      <protection locked="0"/>
    </xf>
    <xf numFmtId="183" fontId="3" fillId="42" borderId="0" xfId="0" applyNumberFormat="1" applyFont="1" applyFill="1" applyAlignment="1" applyProtection="1">
      <alignment horizontal="center" vertical="center"/>
      <protection locked="0"/>
    </xf>
    <xf numFmtId="0" fontId="135" fillId="22" borderId="179" xfId="0" applyFont="1" applyFill="1" applyBorder="1" applyAlignment="1" applyProtection="1">
      <alignment vertical="center"/>
    </xf>
    <xf numFmtId="0" fontId="120" fillId="19" borderId="0" xfId="0" applyFont="1" applyFill="1" applyAlignment="1" applyProtection="1">
      <alignment horizontal="left"/>
    </xf>
    <xf numFmtId="0" fontId="5" fillId="19" borderId="0" xfId="0" applyFont="1" applyFill="1" applyAlignment="1" applyProtection="1">
      <alignment horizontal="left" wrapText="1"/>
    </xf>
    <xf numFmtId="0" fontId="109" fillId="19" borderId="0" xfId="0" applyFont="1" applyFill="1" applyAlignment="1" applyProtection="1">
      <alignment horizontal="left"/>
    </xf>
    <xf numFmtId="0" fontId="98" fillId="19" borderId="0" xfId="0" applyFont="1" applyFill="1" applyAlignment="1" applyProtection="1">
      <alignment horizontal="left"/>
    </xf>
    <xf numFmtId="0" fontId="79" fillId="19" borderId="123" xfId="0" applyFont="1" applyFill="1" applyBorder="1" applyAlignment="1">
      <alignment vertical="center"/>
    </xf>
    <xf numFmtId="0" fontId="0" fillId="0" borderId="42" xfId="0" applyBorder="1" applyAlignment="1">
      <alignment vertical="center"/>
    </xf>
    <xf numFmtId="0" fontId="79" fillId="19" borderId="79" xfId="0" applyFont="1" applyFill="1" applyBorder="1" applyAlignment="1">
      <alignment vertical="center"/>
    </xf>
    <xf numFmtId="0" fontId="79" fillId="19" borderId="80" xfId="0" applyFont="1" applyFill="1" applyBorder="1" applyAlignment="1">
      <alignment vertical="center"/>
    </xf>
    <xf numFmtId="0" fontId="79" fillId="47" borderId="79" xfId="0" applyFont="1" applyFill="1" applyBorder="1" applyAlignment="1">
      <alignment vertical="center"/>
    </xf>
    <xf numFmtId="0" fontId="79" fillId="47" borderId="80" xfId="0" applyFont="1" applyFill="1" applyBorder="1" applyAlignment="1">
      <alignment vertical="center"/>
    </xf>
    <xf numFmtId="0" fontId="0" fillId="19" borderId="0" xfId="0" applyFill="1" applyAlignment="1">
      <alignment vertical="center"/>
    </xf>
    <xf numFmtId="0" fontId="0" fillId="0" borderId="0" xfId="0" applyAlignment="1">
      <alignment vertical="center"/>
    </xf>
    <xf numFmtId="0" fontId="129" fillId="19" borderId="0" xfId="0" applyFont="1" applyFill="1" applyAlignment="1">
      <alignment horizontal="left" vertical="center"/>
    </xf>
    <xf numFmtId="0" fontId="38" fillId="19" borderId="0" xfId="0" applyFont="1" applyFill="1" applyAlignment="1">
      <alignment horizontal="right" vertical="center"/>
    </xf>
    <xf numFmtId="0" fontId="8" fillId="19" borderId="0" xfId="0" applyFont="1" applyFill="1" applyAlignment="1">
      <alignment vertical="center"/>
    </xf>
    <xf numFmtId="0" fontId="0" fillId="47" borderId="0" xfId="0" applyFill="1" applyAlignment="1">
      <alignment vertical="center"/>
    </xf>
    <xf numFmtId="0" fontId="8" fillId="47" borderId="0" xfId="0" applyFont="1" applyFill="1" applyAlignment="1">
      <alignment vertical="center"/>
    </xf>
    <xf numFmtId="0" fontId="8" fillId="47" borderId="0" xfId="0" applyFont="1" applyFill="1" applyAlignment="1">
      <alignment horizontal="right" vertical="center"/>
    </xf>
    <xf numFmtId="0" fontId="67" fillId="47" borderId="0" xfId="0" applyFont="1" applyFill="1" applyAlignment="1">
      <alignment vertical="center"/>
    </xf>
    <xf numFmtId="0" fontId="0" fillId="54" borderId="0" xfId="0" applyFill="1" applyAlignment="1">
      <alignment vertical="center"/>
    </xf>
    <xf numFmtId="0" fontId="129" fillId="19" borderId="0" xfId="0" quotePrefix="1" applyFont="1" applyFill="1" applyAlignment="1">
      <alignment horizontal="left" vertical="center"/>
    </xf>
    <xf numFmtId="0" fontId="48" fillId="47" borderId="0" xfId="0" applyFont="1" applyFill="1" applyAlignment="1">
      <alignment vertical="center"/>
    </xf>
    <xf numFmtId="0" fontId="0" fillId="19" borderId="0" xfId="0" applyFill="1" applyAlignment="1">
      <alignment horizontal="left" vertical="center"/>
    </xf>
    <xf numFmtId="0" fontId="0" fillId="47" borderId="0" xfId="0" applyFill="1" applyAlignment="1">
      <alignment horizontal="left" vertical="center"/>
    </xf>
    <xf numFmtId="0" fontId="48" fillId="47" borderId="0" xfId="0" applyFont="1" applyFill="1" applyAlignment="1">
      <alignment horizontal="left" vertical="center"/>
    </xf>
    <xf numFmtId="0" fontId="0" fillId="47" borderId="0" xfId="0" applyFill="1" applyAlignment="1">
      <alignment horizontal="right" vertical="center"/>
    </xf>
    <xf numFmtId="0" fontId="5" fillId="47" borderId="0" xfId="0" applyFont="1" applyFill="1" applyAlignment="1">
      <alignment horizontal="left" vertical="center"/>
    </xf>
    <xf numFmtId="0" fontId="12" fillId="47" borderId="0" xfId="0" applyFont="1" applyFill="1" applyAlignment="1">
      <alignment vertical="center"/>
    </xf>
    <xf numFmtId="0" fontId="8" fillId="47" borderId="0" xfId="0" applyFont="1" applyFill="1" applyAlignment="1">
      <alignment horizontal="left" vertical="center"/>
    </xf>
    <xf numFmtId="0" fontId="13" fillId="47" borderId="0" xfId="0" applyFont="1" applyFill="1" applyAlignment="1">
      <alignment vertical="center"/>
    </xf>
    <xf numFmtId="0" fontId="122" fillId="47" borderId="0" xfId="0" applyFont="1" applyFill="1" applyAlignment="1">
      <alignment vertical="center"/>
    </xf>
    <xf numFmtId="0" fontId="5" fillId="47" borderId="0" xfId="0" applyFont="1" applyFill="1" applyAlignment="1">
      <alignment vertical="center"/>
    </xf>
    <xf numFmtId="0" fontId="123" fillId="47" borderId="0" xfId="0" applyFont="1" applyFill="1" applyAlignment="1">
      <alignment vertical="center"/>
    </xf>
    <xf numFmtId="0" fontId="5" fillId="54" borderId="0" xfId="0" applyFont="1" applyFill="1" applyAlignment="1">
      <alignment vertical="center"/>
    </xf>
    <xf numFmtId="0" fontId="136" fillId="19" borderId="0" xfId="0" applyFont="1" applyFill="1" applyAlignment="1">
      <alignment vertical="center"/>
    </xf>
    <xf numFmtId="0" fontId="87" fillId="47" borderId="0" xfId="0" applyFont="1" applyFill="1" applyAlignment="1">
      <alignment vertical="center"/>
    </xf>
    <xf numFmtId="0" fontId="124" fillId="47" borderId="0" xfId="0" applyFont="1" applyFill="1" applyAlignment="1">
      <alignment vertical="center"/>
    </xf>
    <xf numFmtId="0" fontId="125" fillId="47" borderId="0" xfId="0" applyFont="1" applyFill="1" applyAlignment="1">
      <alignment vertical="center"/>
    </xf>
    <xf numFmtId="0" fontId="126" fillId="47" borderId="0" xfId="0" applyFont="1" applyFill="1" applyAlignment="1">
      <alignment vertical="center"/>
    </xf>
    <xf numFmtId="0" fontId="126" fillId="54" borderId="0" xfId="0" applyFont="1" applyFill="1" applyAlignment="1">
      <alignment vertical="center"/>
    </xf>
    <xf numFmtId="0" fontId="42" fillId="54" borderId="0" xfId="0" applyFont="1" applyFill="1" applyAlignment="1">
      <alignment vertical="center"/>
    </xf>
    <xf numFmtId="0" fontId="137" fillId="19" borderId="0" xfId="0" applyFont="1" applyFill="1" applyAlignment="1">
      <alignment vertical="center"/>
    </xf>
    <xf numFmtId="0" fontId="11" fillId="47" borderId="0" xfId="0" applyFont="1" applyFill="1" applyAlignment="1">
      <alignment vertical="center"/>
    </xf>
    <xf numFmtId="0" fontId="0" fillId="54" borderId="0" xfId="0" applyFill="1" applyAlignment="1">
      <alignment horizontal="center" vertical="center"/>
    </xf>
    <xf numFmtId="4" fontId="127" fillId="47" borderId="0" xfId="0" applyNumberFormat="1" applyFont="1" applyFill="1" applyAlignment="1">
      <alignment vertical="center"/>
    </xf>
    <xf numFmtId="0" fontId="127" fillId="47" borderId="0" xfId="0" applyFont="1" applyFill="1" applyAlignment="1">
      <alignment vertical="center"/>
    </xf>
    <xf numFmtId="49" fontId="0" fillId="54" borderId="0" xfId="0" applyNumberFormat="1" applyFill="1" applyAlignment="1">
      <alignment vertical="center"/>
    </xf>
    <xf numFmtId="0" fontId="0" fillId="54" borderId="79" xfId="0" applyFill="1" applyBorder="1" applyAlignment="1">
      <alignment vertical="center"/>
    </xf>
    <xf numFmtId="2" fontId="0" fillId="54" borderId="123" xfId="0" applyNumberFormat="1" applyFill="1" applyBorder="1" applyAlignment="1">
      <alignment horizontal="center" vertical="center"/>
    </xf>
    <xf numFmtId="2" fontId="0" fillId="54" borderId="80" xfId="0" applyNumberFormat="1" applyFill="1" applyBorder="1" applyAlignment="1">
      <alignment horizontal="center" vertical="center"/>
    </xf>
    <xf numFmtId="0" fontId="0" fillId="54" borderId="44" xfId="0" applyFill="1" applyBorder="1" applyAlignment="1">
      <alignment vertical="center"/>
    </xf>
    <xf numFmtId="9" fontId="0" fillId="54" borderId="39" xfId="0" applyNumberFormat="1" applyFill="1" applyBorder="1" applyAlignment="1">
      <alignment vertical="center"/>
    </xf>
    <xf numFmtId="0" fontId="0" fillId="54" borderId="39" xfId="0" applyFill="1" applyBorder="1" applyAlignment="1">
      <alignment vertical="center"/>
    </xf>
    <xf numFmtId="165" fontId="0" fillId="54" borderId="39" xfId="0" applyNumberFormat="1" applyFill="1" applyBorder="1" applyAlignment="1">
      <alignment horizontal="center" vertical="center"/>
    </xf>
    <xf numFmtId="0" fontId="0" fillId="54" borderId="40" xfId="0" applyFill="1" applyBorder="1" applyAlignment="1">
      <alignment vertical="center"/>
    </xf>
    <xf numFmtId="0" fontId="0" fillId="54" borderId="45" xfId="0" applyFill="1" applyBorder="1" applyAlignment="1">
      <alignment vertical="center"/>
    </xf>
    <xf numFmtId="231" fontId="0" fillId="54" borderId="0" xfId="0" applyNumberFormat="1" applyFill="1" applyBorder="1" applyAlignment="1">
      <alignment horizontal="center" vertical="center"/>
    </xf>
    <xf numFmtId="231" fontId="0" fillId="54" borderId="46" xfId="0" applyNumberFormat="1" applyFill="1" applyBorder="1" applyAlignment="1">
      <alignment horizontal="center" vertical="center"/>
    </xf>
    <xf numFmtId="0" fontId="0" fillId="54" borderId="47" xfId="0" applyFill="1" applyBorder="1" applyAlignment="1">
      <alignment vertical="center"/>
    </xf>
    <xf numFmtId="2" fontId="0" fillId="54" borderId="42" xfId="0" applyNumberFormat="1" applyFill="1" applyBorder="1" applyAlignment="1">
      <alignment horizontal="center" vertical="center"/>
    </xf>
    <xf numFmtId="2" fontId="0" fillId="54" borderId="48" xfId="0" applyNumberFormat="1" applyFill="1" applyBorder="1" applyAlignment="1">
      <alignment horizontal="center" vertical="center"/>
    </xf>
    <xf numFmtId="10" fontId="0" fillId="54" borderId="39" xfId="0" applyNumberFormat="1" applyFill="1" applyBorder="1" applyAlignment="1">
      <alignment vertical="center"/>
    </xf>
    <xf numFmtId="231" fontId="15" fillId="47" borderId="0" xfId="0" applyNumberFormat="1" applyFont="1" applyFill="1" applyAlignment="1">
      <alignment vertical="center"/>
    </xf>
    <xf numFmtId="0" fontId="15" fillId="47" borderId="0" xfId="0" applyFont="1" applyFill="1" applyAlignment="1">
      <alignment vertical="center"/>
    </xf>
    <xf numFmtId="0" fontId="128" fillId="47" borderId="0" xfId="0" applyFont="1" applyFill="1" applyAlignment="1">
      <alignment vertical="center"/>
    </xf>
    <xf numFmtId="0" fontId="0" fillId="54" borderId="0" xfId="0" applyFill="1" applyBorder="1" applyAlignment="1">
      <alignment vertical="center"/>
    </xf>
    <xf numFmtId="165" fontId="0" fillId="54" borderId="0" xfId="0" applyNumberFormat="1" applyFill="1" applyBorder="1" applyAlignment="1">
      <alignment horizontal="center" vertical="center"/>
    </xf>
    <xf numFmtId="0" fontId="0" fillId="54" borderId="46" xfId="0" applyFill="1" applyBorder="1" applyAlignment="1">
      <alignment vertical="center"/>
    </xf>
    <xf numFmtId="0" fontId="5" fillId="54" borderId="45" xfId="0" applyFont="1" applyFill="1" applyBorder="1" applyAlignment="1">
      <alignment vertical="center"/>
    </xf>
    <xf numFmtId="0" fontId="0" fillId="47" borderId="239" xfId="0" applyFill="1" applyBorder="1" applyAlignment="1">
      <alignment vertical="center"/>
    </xf>
    <xf numFmtId="0" fontId="11" fillId="47" borderId="238" xfId="0" applyFont="1" applyFill="1" applyBorder="1" applyAlignment="1">
      <alignment vertical="center"/>
    </xf>
    <xf numFmtId="0" fontId="0" fillId="47" borderId="240" xfId="0" applyFill="1" applyBorder="1" applyAlignment="1">
      <alignment vertical="center"/>
    </xf>
    <xf numFmtId="0" fontId="0" fillId="47" borderId="0" xfId="0" applyFill="1" applyBorder="1" applyAlignment="1">
      <alignment vertical="center"/>
    </xf>
    <xf numFmtId="0" fontId="5" fillId="47" borderId="241" xfId="0" applyFont="1" applyFill="1" applyBorder="1" applyAlignment="1">
      <alignment vertical="center"/>
    </xf>
    <xf numFmtId="0" fontId="0" fillId="47" borderId="242" xfId="0" applyFill="1" applyBorder="1" applyAlignment="1">
      <alignment vertical="center"/>
    </xf>
    <xf numFmtId="0" fontId="0" fillId="47" borderId="241" xfId="0" applyFill="1" applyBorder="1" applyAlignment="1">
      <alignment vertical="center"/>
    </xf>
    <xf numFmtId="0" fontId="127" fillId="47" borderId="0" xfId="0" applyFont="1" applyFill="1" applyBorder="1" applyAlignment="1">
      <alignment vertical="center"/>
    </xf>
    <xf numFmtId="10" fontId="127" fillId="47" borderId="0" xfId="0" applyNumberFormat="1" applyFont="1" applyFill="1" applyBorder="1" applyAlignment="1">
      <alignment vertical="center"/>
    </xf>
    <xf numFmtId="232" fontId="127" fillId="47" borderId="0" xfId="0" applyNumberFormat="1" applyFont="1" applyFill="1" applyBorder="1" applyAlignment="1">
      <alignment vertical="center"/>
    </xf>
    <xf numFmtId="4" fontId="127" fillId="47" borderId="0" xfId="0" applyNumberFormat="1" applyFont="1" applyFill="1" applyBorder="1" applyAlignment="1">
      <alignment vertical="center"/>
    </xf>
    <xf numFmtId="4" fontId="0" fillId="47" borderId="0" xfId="0" applyNumberFormat="1" applyFill="1" applyBorder="1" applyAlignment="1">
      <alignment vertical="center"/>
    </xf>
    <xf numFmtId="0" fontId="5" fillId="47" borderId="0" xfId="0" applyFont="1" applyFill="1" applyBorder="1" applyAlignment="1">
      <alignment vertical="center"/>
    </xf>
    <xf numFmtId="0" fontId="0" fillId="47" borderId="244" xfId="0" applyFill="1" applyBorder="1" applyAlignment="1">
      <alignment vertical="center"/>
    </xf>
    <xf numFmtId="0" fontId="0" fillId="47" borderId="243" xfId="0" applyFill="1" applyBorder="1" applyAlignment="1">
      <alignment vertical="center"/>
    </xf>
    <xf numFmtId="0" fontId="0" fillId="47" borderId="245" xfId="0" applyFill="1" applyBorder="1" applyAlignment="1">
      <alignment vertical="center"/>
    </xf>
    <xf numFmtId="0" fontId="89" fillId="0" borderId="0" xfId="0" applyFont="1" applyAlignment="1" applyProtection="1">
      <alignment horizontal="left"/>
    </xf>
    <xf numFmtId="0" fontId="109" fillId="0" borderId="0" xfId="0" applyFont="1" applyAlignment="1" applyProtection="1">
      <alignment horizontal="left"/>
    </xf>
    <xf numFmtId="0" fontId="0" fillId="0" borderId="0" xfId="0" applyProtection="1"/>
    <xf numFmtId="0" fontId="52" fillId="16" borderId="124" xfId="3" applyFont="1" applyFill="1" applyBorder="1" applyAlignment="1" applyProtection="1">
      <alignment horizontal="center" vertical="center" wrapText="1"/>
    </xf>
    <xf numFmtId="0" fontId="52" fillId="16" borderId="125" xfId="3" applyFont="1" applyFill="1" applyBorder="1" applyAlignment="1" applyProtection="1">
      <alignment horizontal="center" vertical="center" wrapText="1"/>
    </xf>
    <xf numFmtId="0" fontId="52" fillId="16" borderId="126" xfId="3" applyFont="1" applyFill="1" applyBorder="1" applyAlignment="1" applyProtection="1">
      <alignment horizontal="center" vertical="center" wrapText="1"/>
    </xf>
    <xf numFmtId="0" fontId="52" fillId="16" borderId="127" xfId="3" applyFont="1" applyFill="1" applyBorder="1" applyAlignment="1" applyProtection="1">
      <alignment horizontal="center" vertical="center" wrapText="1"/>
    </xf>
    <xf numFmtId="0" fontId="52" fillId="16" borderId="0" xfId="3" applyFont="1" applyFill="1" applyBorder="1" applyAlignment="1" applyProtection="1">
      <alignment horizontal="center" vertical="center" wrapText="1"/>
    </xf>
    <xf numFmtId="0" fontId="52" fillId="16" borderId="128" xfId="3" applyFont="1" applyFill="1" applyBorder="1" applyAlignment="1" applyProtection="1">
      <alignment horizontal="center" vertical="center" wrapText="1"/>
    </xf>
    <xf numFmtId="0" fontId="52" fillId="16" borderId="129" xfId="3" applyFont="1" applyFill="1" applyBorder="1" applyAlignment="1" applyProtection="1">
      <alignment horizontal="center" vertical="center" wrapText="1"/>
    </xf>
    <xf numFmtId="0" fontId="52" fillId="16" borderId="29" xfId="3" applyFont="1" applyFill="1" applyBorder="1" applyAlignment="1" applyProtection="1">
      <alignment horizontal="center" vertical="center" wrapText="1"/>
    </xf>
    <xf numFmtId="0" fontId="52" fillId="16" borderId="130" xfId="3" applyFont="1" applyFill="1" applyBorder="1" applyAlignment="1" applyProtection="1">
      <alignment horizontal="center" vertical="center" wrapText="1"/>
    </xf>
    <xf numFmtId="0" fontId="2" fillId="31" borderId="277" xfId="3" applyFill="1" applyBorder="1" applyAlignment="1" applyProtection="1">
      <alignment horizontal="center"/>
    </xf>
    <xf numFmtId="0" fontId="2" fillId="31" borderId="278" xfId="3" applyFill="1" applyBorder="1" applyAlignment="1" applyProtection="1">
      <alignment horizontal="center"/>
    </xf>
    <xf numFmtId="0" fontId="2" fillId="31" borderId="279" xfId="3" applyFill="1" applyBorder="1" applyAlignment="1" applyProtection="1">
      <alignment horizontal="center"/>
    </xf>
    <xf numFmtId="0" fontId="0" fillId="0" borderId="0" xfId="0" applyProtection="1"/>
    <xf numFmtId="0" fontId="87" fillId="19" borderId="134" xfId="0" applyFont="1" applyFill="1" applyBorder="1" applyAlignment="1" applyProtection="1">
      <alignment horizontal="center" vertical="center" textRotation="90"/>
    </xf>
    <xf numFmtId="0" fontId="87" fillId="19" borderId="60" xfId="0" applyFont="1" applyFill="1" applyBorder="1" applyAlignment="1" applyProtection="1">
      <alignment horizontal="center" vertical="center" textRotation="90"/>
    </xf>
    <xf numFmtId="0" fontId="87" fillId="19" borderId="113" xfId="0" applyFont="1" applyFill="1" applyBorder="1" applyAlignment="1" applyProtection="1">
      <alignment horizontal="center" vertical="center" textRotation="90"/>
    </xf>
    <xf numFmtId="0" fontId="87" fillId="22" borderId="134" xfId="0" applyFont="1" applyFill="1" applyBorder="1" applyAlignment="1" applyProtection="1">
      <alignment horizontal="center" vertical="center" textRotation="90"/>
    </xf>
    <xf numFmtId="0" fontId="87" fillId="22" borderId="60" xfId="0" applyFont="1" applyFill="1" applyBorder="1" applyAlignment="1" applyProtection="1">
      <alignment horizontal="center" vertical="center" textRotation="90"/>
    </xf>
    <xf numFmtId="0" fontId="87" fillId="22" borderId="113" xfId="0" applyFont="1" applyFill="1" applyBorder="1" applyAlignment="1" applyProtection="1">
      <alignment horizontal="center" vertical="center" textRotation="90"/>
    </xf>
    <xf numFmtId="0" fontId="87" fillId="25" borderId="134" xfId="0" applyFont="1" applyFill="1" applyBorder="1" applyAlignment="1" applyProtection="1">
      <alignment horizontal="center" vertical="center" textRotation="90"/>
    </xf>
    <xf numFmtId="0" fontId="87" fillId="25" borderId="60" xfId="0" applyFont="1" applyFill="1" applyBorder="1" applyAlignment="1" applyProtection="1">
      <alignment horizontal="center" vertical="center" textRotation="90"/>
    </xf>
    <xf numFmtId="0" fontId="87" fillId="25" borderId="113" xfId="0" applyFont="1" applyFill="1" applyBorder="1" applyAlignment="1" applyProtection="1">
      <alignment horizontal="center" vertical="center" textRotation="90"/>
    </xf>
    <xf numFmtId="217" fontId="6" fillId="40" borderId="0" xfId="0" applyNumberFormat="1" applyFont="1" applyFill="1" applyBorder="1" applyAlignment="1" applyProtection="1">
      <alignment horizontal="right" vertical="center"/>
    </xf>
    <xf numFmtId="0" fontId="13" fillId="40" borderId="0" xfId="0" applyFont="1" applyFill="1" applyBorder="1" applyAlignment="1" applyProtection="1">
      <alignment horizontal="center" vertical="center" shrinkToFit="1"/>
    </xf>
    <xf numFmtId="0" fontId="6" fillId="40" borderId="185" xfId="0" applyFont="1" applyFill="1" applyBorder="1" applyAlignment="1" applyProtection="1">
      <alignment horizontal="left" vertical="center" indent="1"/>
    </xf>
    <xf numFmtId="0" fontId="6" fillId="40" borderId="0" xfId="0" applyFont="1" applyFill="1" applyBorder="1" applyAlignment="1" applyProtection="1">
      <alignment horizontal="left" vertical="center" indent="1"/>
    </xf>
    <xf numFmtId="225" fontId="87" fillId="21" borderId="0" xfId="0" applyNumberFormat="1" applyFont="1" applyFill="1" applyAlignment="1" applyProtection="1">
      <alignment horizontal="left" vertical="center" indent="1"/>
    </xf>
    <xf numFmtId="0" fontId="11" fillId="20" borderId="246" xfId="3" applyFont="1" applyFill="1" applyBorder="1" applyAlignment="1" applyProtection="1">
      <alignment horizontal="center" vertical="center" wrapText="1"/>
    </xf>
    <xf numFmtId="0" fontId="11" fillId="20" borderId="247" xfId="3" applyFont="1" applyFill="1" applyBorder="1" applyAlignment="1" applyProtection="1">
      <alignment horizontal="center" vertical="center" wrapText="1"/>
    </xf>
    <xf numFmtId="0" fontId="11" fillId="20" borderId="248" xfId="3" applyFont="1" applyFill="1" applyBorder="1" applyAlignment="1" applyProtection="1">
      <alignment horizontal="center" vertical="center" wrapText="1"/>
    </xf>
    <xf numFmtId="0" fontId="11" fillId="20" borderId="189" xfId="3" applyFont="1" applyFill="1" applyBorder="1" applyAlignment="1" applyProtection="1">
      <alignment horizontal="center" vertical="center" wrapText="1"/>
    </xf>
    <xf numFmtId="0" fontId="11" fillId="20" borderId="249" xfId="3" applyFont="1" applyFill="1" applyBorder="1" applyAlignment="1" applyProtection="1">
      <alignment horizontal="center" vertical="center" wrapText="1"/>
    </xf>
    <xf numFmtId="0" fontId="11" fillId="20" borderId="250" xfId="3" applyFont="1" applyFill="1" applyBorder="1" applyAlignment="1" applyProtection="1">
      <alignment horizontal="center" vertical="center" wrapText="1"/>
    </xf>
    <xf numFmtId="176" fontId="5" fillId="30" borderId="191" xfId="0" applyNumberFormat="1" applyFont="1" applyFill="1" applyBorder="1" applyAlignment="1" applyProtection="1">
      <alignment horizontal="center" vertical="center" shrinkToFit="1"/>
    </xf>
    <xf numFmtId="176" fontId="5" fillId="30" borderId="192" xfId="0" applyNumberFormat="1" applyFont="1" applyFill="1" applyBorder="1" applyAlignment="1" applyProtection="1">
      <alignment horizontal="center" vertical="center" shrinkToFit="1"/>
    </xf>
    <xf numFmtId="182" fontId="3" fillId="22" borderId="0" xfId="0" applyNumberFormat="1" applyFont="1" applyFill="1" applyBorder="1" applyAlignment="1" applyProtection="1">
      <alignment horizontal="left" vertical="center" indent="1" shrinkToFit="1"/>
    </xf>
    <xf numFmtId="184" fontId="3" fillId="22" borderId="0" xfId="0" applyNumberFormat="1" applyFont="1" applyFill="1" applyBorder="1" applyAlignment="1" applyProtection="1">
      <alignment horizontal="left" vertical="center" shrinkToFit="1"/>
    </xf>
    <xf numFmtId="204" fontId="3" fillId="22" borderId="0" xfId="0" applyNumberFormat="1" applyFont="1" applyFill="1" applyBorder="1" applyAlignment="1" applyProtection="1">
      <alignment horizontal="right" vertical="center"/>
    </xf>
    <xf numFmtId="168" fontId="15" fillId="21" borderId="0" xfId="0" applyNumberFormat="1" applyFont="1" applyFill="1" applyBorder="1" applyAlignment="1" applyProtection="1">
      <alignment horizontal="right" vertical="center"/>
      <protection locked="0"/>
    </xf>
    <xf numFmtId="2" fontId="14" fillId="21" borderId="0" xfId="0" applyNumberFormat="1" applyFont="1" applyFill="1" applyBorder="1" applyAlignment="1" applyProtection="1">
      <alignment horizontal="left" vertical="center" shrinkToFit="1"/>
    </xf>
    <xf numFmtId="175" fontId="4" fillId="22" borderId="0" xfId="0" applyNumberFormat="1" applyFont="1" applyFill="1" applyBorder="1" applyAlignment="1" applyProtection="1">
      <alignment horizontal="right" vertical="center" shrinkToFit="1"/>
    </xf>
    <xf numFmtId="175" fontId="4" fillId="22" borderId="0" xfId="0" applyNumberFormat="1" applyFont="1" applyFill="1" applyBorder="1" applyAlignment="1" applyProtection="1">
      <alignment horizontal="right" vertical="center" indent="1" shrinkToFit="1"/>
    </xf>
    <xf numFmtId="175" fontId="4" fillId="22" borderId="184" xfId="0" applyNumberFormat="1" applyFont="1" applyFill="1" applyBorder="1" applyAlignment="1" applyProtection="1">
      <alignment horizontal="right" vertical="center" indent="1" shrinkToFit="1"/>
    </xf>
    <xf numFmtId="168" fontId="6" fillId="24" borderId="0" xfId="0" applyNumberFormat="1" applyFont="1" applyFill="1" applyBorder="1" applyAlignment="1" applyProtection="1">
      <alignment horizontal="right" vertical="center"/>
    </xf>
    <xf numFmtId="2" fontId="15" fillId="21" borderId="0" xfId="0" applyNumberFormat="1" applyFont="1" applyFill="1" applyBorder="1" applyAlignment="1" applyProtection="1">
      <alignment horizontal="left" vertical="center"/>
      <protection locked="0"/>
    </xf>
    <xf numFmtId="196" fontId="5" fillId="22" borderId="0" xfId="0" applyNumberFormat="1" applyFont="1" applyFill="1" applyBorder="1" applyAlignment="1" applyProtection="1">
      <alignment horizontal="right" vertical="center" shrinkToFit="1"/>
    </xf>
    <xf numFmtId="196" fontId="5" fillId="22" borderId="179" xfId="0" applyNumberFormat="1" applyFont="1" applyFill="1" applyBorder="1" applyAlignment="1" applyProtection="1">
      <alignment horizontal="right" vertical="center" shrinkToFit="1"/>
    </xf>
    <xf numFmtId="2" fontId="15" fillId="22" borderId="0" xfId="0" applyNumberFormat="1" applyFont="1" applyFill="1" applyBorder="1" applyAlignment="1" applyProtection="1">
      <alignment horizontal="left" vertical="center"/>
    </xf>
    <xf numFmtId="0" fontId="6" fillId="24" borderId="185" xfId="0" applyFont="1" applyFill="1" applyBorder="1" applyAlignment="1" applyProtection="1">
      <alignment horizontal="left" vertical="center" indent="1"/>
    </xf>
    <xf numFmtId="0" fontId="6" fillId="24" borderId="0" xfId="0" applyFont="1" applyFill="1" applyBorder="1" applyAlignment="1" applyProtection="1">
      <alignment horizontal="left" vertical="center" indent="1"/>
    </xf>
    <xf numFmtId="0" fontId="6" fillId="24" borderId="184" xfId="0" applyFont="1" applyFill="1" applyBorder="1" applyAlignment="1" applyProtection="1">
      <alignment horizontal="left" vertical="center" indent="1"/>
    </xf>
    <xf numFmtId="2" fontId="4" fillId="22" borderId="0" xfId="0" applyNumberFormat="1" applyFont="1" applyFill="1" applyBorder="1" applyAlignment="1" applyProtection="1">
      <alignment horizontal="left" vertical="center"/>
    </xf>
    <xf numFmtId="199" fontId="117" fillId="22" borderId="0" xfId="0" applyNumberFormat="1" applyFont="1" applyFill="1" applyBorder="1" applyAlignment="1" applyProtection="1">
      <alignment horizontal="right" vertical="center"/>
    </xf>
    <xf numFmtId="0" fontId="113" fillId="23" borderId="0" xfId="0" applyFont="1" applyFill="1" applyBorder="1" applyAlignment="1" applyProtection="1">
      <alignment horizontal="right" vertical="top" wrapText="1" indent="1"/>
    </xf>
    <xf numFmtId="0" fontId="113" fillId="23" borderId="184" xfId="0" applyFont="1" applyFill="1" applyBorder="1" applyAlignment="1" applyProtection="1">
      <alignment horizontal="right" vertical="top" wrapText="1" indent="1"/>
    </xf>
    <xf numFmtId="0" fontId="113" fillId="23" borderId="179" xfId="0" applyFont="1" applyFill="1" applyBorder="1" applyAlignment="1" applyProtection="1">
      <alignment horizontal="right" vertical="top" wrapText="1" indent="1"/>
    </xf>
    <xf numFmtId="0" fontId="113" fillId="23" borderId="187" xfId="0" applyFont="1" applyFill="1" applyBorder="1" applyAlignment="1" applyProtection="1">
      <alignment horizontal="right" vertical="top" wrapText="1" indent="1"/>
    </xf>
    <xf numFmtId="0" fontId="103" fillId="36" borderId="185" xfId="0" applyFont="1" applyFill="1" applyBorder="1" applyAlignment="1" applyProtection="1">
      <alignment horizontal="left" vertical="center" indent="1"/>
    </xf>
    <xf numFmtId="0" fontId="103" fillId="36" borderId="0" xfId="0" applyFont="1" applyFill="1" applyBorder="1" applyAlignment="1" applyProtection="1">
      <alignment horizontal="left" vertical="center" indent="1"/>
    </xf>
    <xf numFmtId="0" fontId="102" fillId="36" borderId="0" xfId="0" applyFont="1" applyFill="1" applyBorder="1" applyAlignment="1" applyProtection="1">
      <alignment horizontal="left" vertical="center" shrinkToFit="1"/>
    </xf>
    <xf numFmtId="0" fontId="6" fillId="40" borderId="184" xfId="0" applyFont="1" applyFill="1" applyBorder="1" applyAlignment="1" applyProtection="1">
      <alignment horizontal="left" vertical="center" indent="1"/>
    </xf>
    <xf numFmtId="0" fontId="102" fillId="36" borderId="0" xfId="0" applyFont="1" applyFill="1" applyBorder="1" applyAlignment="1" applyProtection="1">
      <alignment horizontal="left" vertical="center" indent="1"/>
    </xf>
    <xf numFmtId="2" fontId="14" fillId="26" borderId="0" xfId="0" applyNumberFormat="1" applyFont="1" applyFill="1" applyBorder="1" applyAlignment="1" applyProtection="1">
      <alignment horizontal="center" vertical="center" shrinkToFit="1"/>
    </xf>
    <xf numFmtId="2" fontId="14" fillId="26" borderId="184" xfId="0" applyNumberFormat="1" applyFont="1" applyFill="1" applyBorder="1" applyAlignment="1" applyProtection="1">
      <alignment horizontal="center" vertical="center" shrinkToFit="1"/>
    </xf>
    <xf numFmtId="0" fontId="6" fillId="24" borderId="185" xfId="0" applyFont="1" applyFill="1" applyBorder="1" applyAlignment="1" applyProtection="1">
      <alignment horizontal="left" vertical="center"/>
    </xf>
    <xf numFmtId="0" fontId="6" fillId="24" borderId="0" xfId="0" applyFont="1" applyFill="1" applyBorder="1" applyAlignment="1" applyProtection="1">
      <alignment horizontal="left" vertical="center"/>
    </xf>
    <xf numFmtId="199" fontId="129" fillId="24" borderId="0" xfId="0" applyNumberFormat="1" applyFont="1" applyFill="1" applyBorder="1" applyAlignment="1" applyProtection="1">
      <alignment horizontal="center" vertical="center"/>
    </xf>
    <xf numFmtId="0" fontId="113" fillId="23" borderId="182" xfId="0" applyFont="1" applyFill="1" applyBorder="1" applyAlignment="1" applyProtection="1">
      <alignment horizontal="right" vertical="top" wrapText="1" indent="1"/>
    </xf>
    <xf numFmtId="0" fontId="113" fillId="23" borderId="183" xfId="0" applyFont="1" applyFill="1" applyBorder="1" applyAlignment="1" applyProtection="1">
      <alignment horizontal="right" vertical="top" wrapText="1" indent="1"/>
    </xf>
    <xf numFmtId="0" fontId="103" fillId="36" borderId="186" xfId="0" applyFont="1" applyFill="1" applyBorder="1" applyAlignment="1" applyProtection="1">
      <alignment horizontal="left" vertical="center" indent="1"/>
    </xf>
    <xf numFmtId="0" fontId="103" fillId="36" borderId="179" xfId="0" applyFont="1" applyFill="1" applyBorder="1" applyAlignment="1" applyProtection="1">
      <alignment horizontal="left" vertical="center" indent="1"/>
    </xf>
    <xf numFmtId="0" fontId="102" fillId="36" borderId="179" xfId="0" applyFont="1" applyFill="1" applyBorder="1" applyAlignment="1" applyProtection="1">
      <alignment horizontal="left" vertical="center" indent="1"/>
    </xf>
    <xf numFmtId="212" fontId="11" fillId="22" borderId="0" xfId="0" applyNumberFormat="1" applyFont="1" applyFill="1" applyBorder="1" applyAlignment="1" applyProtection="1">
      <alignment horizontal="right" vertical="center"/>
    </xf>
    <xf numFmtId="2" fontId="11" fillId="22" borderId="185" xfId="0" quotePrefix="1" applyNumberFormat="1" applyFont="1" applyFill="1" applyBorder="1" applyAlignment="1" applyProtection="1">
      <alignment horizontal="left" vertical="center" indent="1"/>
    </xf>
    <xf numFmtId="2" fontId="11" fillId="22" borderId="0" xfId="0" quotePrefix="1" applyNumberFormat="1" applyFont="1" applyFill="1" applyBorder="1" applyAlignment="1" applyProtection="1">
      <alignment horizontal="left" vertical="center" indent="1"/>
    </xf>
    <xf numFmtId="175" fontId="15" fillId="22" borderId="0" xfId="0" applyNumberFormat="1" applyFont="1" applyFill="1" applyBorder="1" applyAlignment="1" applyProtection="1">
      <alignment horizontal="right" vertical="center"/>
    </xf>
    <xf numFmtId="212" fontId="5" fillId="22" borderId="0" xfId="0" applyNumberFormat="1" applyFont="1" applyFill="1" applyBorder="1" applyAlignment="1" applyProtection="1">
      <alignment horizontal="right" vertical="center" shrinkToFit="1"/>
    </xf>
    <xf numFmtId="176" fontId="3" fillId="22" borderId="0" xfId="0" applyNumberFormat="1" applyFont="1" applyFill="1" applyBorder="1" applyAlignment="1" applyProtection="1">
      <alignment horizontal="center" vertical="center"/>
    </xf>
    <xf numFmtId="0" fontId="39" fillId="22" borderId="251" xfId="0" applyFont="1" applyFill="1" applyBorder="1" applyAlignment="1" applyProtection="1">
      <alignment horizontal="center" vertical="center" textRotation="90"/>
    </xf>
    <xf numFmtId="0" fontId="39" fillId="22" borderId="252" xfId="0" applyFont="1" applyFill="1" applyBorder="1" applyAlignment="1" applyProtection="1">
      <alignment horizontal="center" vertical="center" textRotation="90"/>
    </xf>
    <xf numFmtId="0" fontId="39" fillId="22" borderId="253" xfId="0" applyFont="1" applyFill="1" applyBorder="1" applyAlignment="1" applyProtection="1">
      <alignment horizontal="center" vertical="center" textRotation="90"/>
    </xf>
    <xf numFmtId="0" fontId="3" fillId="22" borderId="254" xfId="0" applyFont="1" applyFill="1" applyBorder="1" applyAlignment="1" applyProtection="1">
      <alignment horizontal="left" vertical="center" wrapText="1"/>
    </xf>
    <xf numFmtId="0" fontId="3" fillId="22" borderId="255" xfId="0" applyFont="1" applyFill="1" applyBorder="1" applyAlignment="1" applyProtection="1">
      <alignment horizontal="left" vertical="center" wrapText="1"/>
    </xf>
    <xf numFmtId="0" fontId="3" fillId="22" borderId="256" xfId="0" applyFont="1" applyFill="1" applyBorder="1" applyAlignment="1" applyProtection="1">
      <alignment horizontal="left" vertical="center" wrapText="1"/>
    </xf>
    <xf numFmtId="0" fontId="3" fillId="22" borderId="257" xfId="0" applyFont="1" applyFill="1" applyBorder="1" applyAlignment="1" applyProtection="1">
      <alignment horizontal="left" vertical="center" wrapText="1"/>
    </xf>
    <xf numFmtId="0" fontId="3" fillId="22" borderId="0" xfId="0" applyFont="1" applyFill="1" applyBorder="1" applyAlignment="1" applyProtection="1">
      <alignment horizontal="left" vertical="center" wrapText="1"/>
    </xf>
    <xf numFmtId="0" fontId="3" fillId="22" borderId="258" xfId="0" applyFont="1" applyFill="1" applyBorder="1" applyAlignment="1" applyProtection="1">
      <alignment horizontal="left" vertical="center" wrapText="1"/>
    </xf>
    <xf numFmtId="0" fontId="3" fillId="22" borderId="259" xfId="0" applyFont="1" applyFill="1" applyBorder="1" applyAlignment="1" applyProtection="1">
      <alignment horizontal="left" vertical="center" wrapText="1"/>
    </xf>
    <xf numFmtId="0" fontId="3" fillId="22" borderId="260" xfId="0" applyFont="1" applyFill="1" applyBorder="1" applyAlignment="1" applyProtection="1">
      <alignment horizontal="left" vertical="center" wrapText="1"/>
    </xf>
    <xf numFmtId="0" fontId="3" fillId="22" borderId="261" xfId="0" applyFont="1" applyFill="1" applyBorder="1" applyAlignment="1" applyProtection="1">
      <alignment horizontal="left" vertical="center" wrapText="1"/>
    </xf>
    <xf numFmtId="202" fontId="44" fillId="22" borderId="0" xfId="0" applyNumberFormat="1" applyFont="1" applyFill="1" applyBorder="1" applyAlignment="1" applyProtection="1">
      <alignment horizontal="center" vertical="top" wrapText="1"/>
    </xf>
    <xf numFmtId="222" fontId="44" fillId="22" borderId="0" xfId="0" applyNumberFormat="1" applyFont="1" applyFill="1" applyBorder="1" applyAlignment="1" applyProtection="1">
      <alignment horizontal="center" vertical="top" wrapText="1" shrinkToFit="1"/>
    </xf>
    <xf numFmtId="189" fontId="15" fillId="30" borderId="191" xfId="0" applyNumberFormat="1" applyFont="1" applyFill="1" applyBorder="1" applyAlignment="1" applyProtection="1">
      <alignment horizontal="right" vertical="center"/>
    </xf>
    <xf numFmtId="189" fontId="15" fillId="30" borderId="192" xfId="0" applyNumberFormat="1" applyFont="1" applyFill="1" applyBorder="1" applyAlignment="1" applyProtection="1">
      <alignment horizontal="right" vertical="center"/>
    </xf>
    <xf numFmtId="176" fontId="6" fillId="29" borderId="182" xfId="0" applyNumberFormat="1" applyFont="1" applyFill="1" applyBorder="1" applyAlignment="1" applyProtection="1">
      <alignment horizontal="right" vertical="center" shrinkToFit="1"/>
    </xf>
    <xf numFmtId="176" fontId="6" fillId="29" borderId="0" xfId="0" applyNumberFormat="1" applyFont="1" applyFill="1" applyBorder="1" applyAlignment="1" applyProtection="1">
      <alignment horizontal="right" vertical="center" shrinkToFit="1"/>
    </xf>
    <xf numFmtId="0" fontId="5" fillId="19" borderId="0" xfId="0" applyFont="1" applyFill="1" applyBorder="1" applyAlignment="1" applyProtection="1">
      <alignment horizontal="center" vertical="center" shrinkToFit="1"/>
    </xf>
    <xf numFmtId="182" fontId="3" fillId="22" borderId="193" xfId="0" applyNumberFormat="1" applyFont="1" applyFill="1" applyBorder="1" applyAlignment="1" applyProtection="1">
      <alignment horizontal="left" vertical="center" indent="1" shrinkToFit="1"/>
    </xf>
    <xf numFmtId="176" fontId="5" fillId="29" borderId="0" xfId="0" applyNumberFormat="1" applyFont="1" applyFill="1" applyBorder="1" applyAlignment="1" applyProtection="1">
      <alignment horizontal="right" vertical="center" shrinkToFit="1"/>
    </xf>
    <xf numFmtId="0" fontId="6" fillId="29" borderId="182" xfId="0" applyFont="1" applyFill="1" applyBorder="1" applyAlignment="1" applyProtection="1">
      <alignment horizontal="left" vertical="center"/>
    </xf>
    <xf numFmtId="0" fontId="6" fillId="29" borderId="0" xfId="0" applyFont="1" applyFill="1" applyBorder="1" applyAlignment="1" applyProtection="1">
      <alignment horizontal="left" vertical="center"/>
    </xf>
    <xf numFmtId="2" fontId="11" fillId="29" borderId="0" xfId="0" applyNumberFormat="1" applyFont="1" applyFill="1" applyBorder="1" applyAlignment="1" applyProtection="1">
      <alignment horizontal="left" vertical="center"/>
    </xf>
    <xf numFmtId="2" fontId="11" fillId="29" borderId="179" xfId="0" applyNumberFormat="1" applyFont="1" applyFill="1" applyBorder="1" applyAlignment="1" applyProtection="1">
      <alignment horizontal="left" vertical="center"/>
    </xf>
    <xf numFmtId="3" fontId="21" fillId="29" borderId="0" xfId="0" applyNumberFormat="1" applyFont="1" applyFill="1" applyBorder="1" applyAlignment="1" applyProtection="1">
      <alignment horizontal="left" vertical="center"/>
    </xf>
    <xf numFmtId="225" fontId="5" fillId="19" borderId="0" xfId="0" applyNumberFormat="1" applyFont="1" applyFill="1" applyBorder="1" applyAlignment="1" applyProtection="1">
      <alignment horizontal="left" vertical="center" indent="1"/>
    </xf>
    <xf numFmtId="0" fontId="6" fillId="19" borderId="0" xfId="0" applyFont="1" applyFill="1" applyBorder="1" applyAlignment="1" applyProtection="1">
      <alignment horizontal="right" vertical="center"/>
    </xf>
    <xf numFmtId="0" fontId="4" fillId="26" borderId="185" xfId="0" applyFont="1" applyFill="1" applyBorder="1" applyAlignment="1" applyProtection="1">
      <alignment horizontal="right" vertical="center" textRotation="90"/>
    </xf>
    <xf numFmtId="0" fontId="4" fillId="26" borderId="0" xfId="0" applyFont="1" applyFill="1" applyBorder="1" applyAlignment="1" applyProtection="1">
      <alignment horizontal="right" vertical="center" textRotation="90"/>
    </xf>
    <xf numFmtId="0" fontId="6" fillId="19" borderId="0" xfId="0" applyFont="1" applyFill="1" applyBorder="1" applyAlignment="1" applyProtection="1">
      <alignment horizontal="left" vertical="center"/>
    </xf>
    <xf numFmtId="0" fontId="116" fillId="34" borderId="0" xfId="2" applyFont="1" applyFill="1" applyBorder="1" applyAlignment="1" applyProtection="1">
      <alignment horizontal="left" vertical="center" shrinkToFit="1"/>
    </xf>
    <xf numFmtId="0" fontId="5" fillId="26" borderId="0" xfId="2" applyFont="1" applyFill="1" applyBorder="1" applyAlignment="1" applyProtection="1">
      <alignment horizontal="center"/>
    </xf>
    <xf numFmtId="0" fontId="5" fillId="26" borderId="179" xfId="2" applyFont="1" applyFill="1" applyBorder="1" applyAlignment="1" applyProtection="1">
      <alignment horizontal="center"/>
    </xf>
    <xf numFmtId="0" fontId="36" fillId="29" borderId="0" xfId="0" applyFont="1" applyFill="1" applyBorder="1" applyAlignment="1" applyProtection="1">
      <alignment horizontal="left" vertical="center"/>
    </xf>
    <xf numFmtId="2" fontId="40" fillId="22" borderId="254" xfId="0" applyNumberFormat="1" applyFont="1" applyFill="1" applyBorder="1" applyAlignment="1" applyProtection="1">
      <alignment horizontal="left" vertical="center" wrapText="1"/>
    </xf>
    <xf numFmtId="2" fontId="40" fillId="22" borderId="255" xfId="0" applyNumberFormat="1" applyFont="1" applyFill="1" applyBorder="1" applyAlignment="1" applyProtection="1">
      <alignment horizontal="left" vertical="center" wrapText="1"/>
    </xf>
    <xf numFmtId="2" fontId="40" fillId="22" borderId="256" xfId="0" applyNumberFormat="1" applyFont="1" applyFill="1" applyBorder="1" applyAlignment="1" applyProtection="1">
      <alignment horizontal="left" vertical="center" wrapText="1"/>
    </xf>
    <xf numFmtId="2" fontId="40" fillId="22" borderId="257" xfId="0" applyNumberFormat="1" applyFont="1" applyFill="1" applyBorder="1" applyAlignment="1" applyProtection="1">
      <alignment horizontal="left" vertical="center" wrapText="1"/>
    </xf>
    <xf numFmtId="2" fontId="40" fillId="22" borderId="0" xfId="0" applyNumberFormat="1" applyFont="1" applyFill="1" applyBorder="1" applyAlignment="1" applyProtection="1">
      <alignment horizontal="left" vertical="center" wrapText="1"/>
    </xf>
    <xf numFmtId="2" fontId="40" fillId="22" borderId="258" xfId="0" applyNumberFormat="1" applyFont="1" applyFill="1" applyBorder="1" applyAlignment="1" applyProtection="1">
      <alignment horizontal="left" vertical="center" wrapText="1"/>
    </xf>
    <xf numFmtId="2" fontId="40" fillId="22" borderId="259" xfId="0" applyNumberFormat="1" applyFont="1" applyFill="1" applyBorder="1" applyAlignment="1" applyProtection="1">
      <alignment horizontal="left" vertical="center" wrapText="1"/>
    </xf>
    <xf numFmtId="2" fontId="40" fillId="22" borderId="260" xfId="0" applyNumberFormat="1" applyFont="1" applyFill="1" applyBorder="1" applyAlignment="1" applyProtection="1">
      <alignment horizontal="left" vertical="center" wrapText="1"/>
    </xf>
    <xf numFmtId="2" fontId="40" fillId="22" borderId="261" xfId="0" applyNumberFormat="1" applyFont="1" applyFill="1" applyBorder="1" applyAlignment="1" applyProtection="1">
      <alignment horizontal="left" vertical="center" wrapText="1"/>
    </xf>
    <xf numFmtId="225" fontId="4" fillId="19" borderId="0" xfId="0" applyNumberFormat="1" applyFont="1" applyFill="1" applyBorder="1" applyAlignment="1" applyProtection="1">
      <alignment horizontal="left" vertical="center" indent="1"/>
    </xf>
    <xf numFmtId="0" fontId="85" fillId="34" borderId="0" xfId="2" applyFont="1" applyFill="1" applyBorder="1" applyAlignment="1" applyProtection="1">
      <alignment horizontal="left" vertical="center" shrinkToFit="1"/>
    </xf>
    <xf numFmtId="0" fontId="5" fillId="19" borderId="0" xfId="0" applyFont="1" applyFill="1" applyBorder="1" applyAlignment="1" applyProtection="1">
      <alignment horizontal="center" vertical="center"/>
    </xf>
    <xf numFmtId="176" fontId="5" fillId="30" borderId="132" xfId="0" applyNumberFormat="1" applyFont="1" applyFill="1" applyBorder="1" applyAlignment="1" applyProtection="1">
      <alignment horizontal="center" vertical="center" shrinkToFit="1"/>
    </xf>
    <xf numFmtId="176" fontId="5" fillId="30" borderId="133" xfId="0" applyNumberFormat="1" applyFont="1" applyFill="1" applyBorder="1" applyAlignment="1" applyProtection="1">
      <alignment horizontal="center" vertical="center" shrinkToFit="1"/>
    </xf>
    <xf numFmtId="2" fontId="11" fillId="22" borderId="185" xfId="0" applyNumberFormat="1" applyFont="1" applyFill="1" applyBorder="1" applyAlignment="1" applyProtection="1">
      <alignment horizontal="left" vertical="center" indent="1"/>
    </xf>
    <xf numFmtId="2" fontId="11" fillId="22" borderId="0" xfId="0" applyNumberFormat="1" applyFont="1" applyFill="1" applyBorder="1" applyAlignment="1" applyProtection="1">
      <alignment horizontal="left" vertical="center" indent="1"/>
    </xf>
    <xf numFmtId="212" fontId="44" fillId="22" borderId="0" xfId="0" applyNumberFormat="1" applyFont="1" applyFill="1" applyBorder="1" applyAlignment="1" applyProtection="1">
      <alignment horizontal="center" vertical="center"/>
    </xf>
    <xf numFmtId="198" fontId="4" fillId="21" borderId="0" xfId="0" applyNumberFormat="1" applyFont="1" applyFill="1" applyBorder="1" applyAlignment="1" applyProtection="1">
      <alignment horizontal="right" vertical="center" shrinkToFit="1"/>
      <protection locked="0"/>
    </xf>
    <xf numFmtId="206" fontId="13" fillId="26" borderId="185" xfId="0" applyNumberFormat="1" applyFont="1" applyFill="1" applyBorder="1" applyAlignment="1" applyProtection="1">
      <alignment horizontal="right" vertical="center" shrinkToFit="1"/>
    </xf>
    <xf numFmtId="206" fontId="13" fillId="26" borderId="0" xfId="0" applyNumberFormat="1" applyFont="1" applyFill="1" applyBorder="1" applyAlignment="1" applyProtection="1">
      <alignment horizontal="right" vertical="center" shrinkToFit="1"/>
    </xf>
    <xf numFmtId="171" fontId="15" fillId="26" borderId="262" xfId="0" applyNumberFormat="1" applyFont="1" applyFill="1" applyBorder="1" applyAlignment="1" applyProtection="1">
      <alignment horizontal="center" vertical="center"/>
    </xf>
    <xf numFmtId="171" fontId="15" fillId="26" borderId="263" xfId="0" applyNumberFormat="1" applyFont="1" applyFill="1" applyBorder="1" applyAlignment="1" applyProtection="1">
      <alignment horizontal="center" vertical="center"/>
    </xf>
    <xf numFmtId="171" fontId="15" fillId="26" borderId="264" xfId="0" applyNumberFormat="1" applyFont="1" applyFill="1" applyBorder="1" applyAlignment="1" applyProtection="1">
      <alignment horizontal="center" vertical="center"/>
    </xf>
    <xf numFmtId="189" fontId="15" fillId="30" borderId="191" xfId="0" applyNumberFormat="1" applyFont="1" applyFill="1" applyBorder="1" applyAlignment="1" applyProtection="1">
      <alignment horizontal="center" vertical="center"/>
    </xf>
    <xf numFmtId="189" fontId="15" fillId="30" borderId="192" xfId="0" applyNumberFormat="1" applyFont="1" applyFill="1" applyBorder="1" applyAlignment="1" applyProtection="1">
      <alignment horizontal="center" vertical="center"/>
    </xf>
    <xf numFmtId="196" fontId="15" fillId="22" borderId="0" xfId="0" applyNumberFormat="1" applyFont="1" applyFill="1" applyBorder="1" applyAlignment="1" applyProtection="1">
      <alignment horizontal="right" vertical="center" shrinkToFit="1"/>
    </xf>
    <xf numFmtId="2" fontId="5" fillId="29" borderId="0" xfId="0" quotePrefix="1" applyNumberFormat="1" applyFont="1" applyFill="1" applyBorder="1" applyAlignment="1" applyProtection="1">
      <alignment vertical="center"/>
    </xf>
    <xf numFmtId="217" fontId="14" fillId="56" borderId="0" xfId="0" applyNumberFormat="1" applyFont="1" applyFill="1" applyBorder="1" applyAlignment="1" applyProtection="1">
      <alignment horizontal="right" vertical="center"/>
    </xf>
    <xf numFmtId="168" fontId="15" fillId="38" borderId="0" xfId="0" applyNumberFormat="1" applyFont="1" applyFill="1" applyBorder="1" applyAlignment="1" applyProtection="1">
      <alignment horizontal="right" vertical="center"/>
    </xf>
    <xf numFmtId="2" fontId="15" fillId="22" borderId="0" xfId="0" applyNumberFormat="1" applyFont="1" applyFill="1" applyBorder="1" applyAlignment="1" applyProtection="1">
      <alignment horizontal="left" vertical="center" wrapText="1"/>
    </xf>
    <xf numFmtId="2" fontId="15" fillId="22" borderId="179" xfId="0" applyNumberFormat="1" applyFont="1" applyFill="1" applyBorder="1" applyAlignment="1" applyProtection="1">
      <alignment horizontal="left" vertical="center" wrapText="1"/>
    </xf>
    <xf numFmtId="2" fontId="15" fillId="25" borderId="0" xfId="0" applyNumberFormat="1" applyFont="1" applyFill="1" applyBorder="1" applyAlignment="1" applyProtection="1">
      <alignment horizontal="left" vertical="center"/>
    </xf>
    <xf numFmtId="2" fontId="15" fillId="25" borderId="184" xfId="0" applyNumberFormat="1" applyFont="1" applyFill="1" applyBorder="1" applyAlignment="1" applyProtection="1">
      <alignment horizontal="left" vertical="center"/>
    </xf>
    <xf numFmtId="0" fontId="38" fillId="21" borderId="0" xfId="0" applyFont="1" applyFill="1" applyBorder="1" applyAlignment="1" applyProtection="1">
      <alignment horizontal="left" vertical="center" indent="1"/>
      <protection locked="0"/>
    </xf>
    <xf numFmtId="168" fontId="15" fillId="38" borderId="179" xfId="0" applyNumberFormat="1" applyFont="1" applyFill="1" applyBorder="1" applyAlignment="1" applyProtection="1">
      <alignment horizontal="right" vertical="center"/>
    </xf>
    <xf numFmtId="0" fontId="5" fillId="26" borderId="0" xfId="0" applyFont="1" applyFill="1" applyBorder="1" applyAlignment="1" applyProtection="1">
      <alignment horizontal="center" vertical="center"/>
    </xf>
    <xf numFmtId="190" fontId="14" fillId="26" borderId="185" xfId="0" applyNumberFormat="1" applyFont="1" applyFill="1" applyBorder="1" applyAlignment="1" applyProtection="1">
      <alignment horizontal="left" vertical="center" indent="1" shrinkToFit="1"/>
    </xf>
    <xf numFmtId="190" fontId="14" fillId="26" borderId="0" xfId="0" applyNumberFormat="1" applyFont="1" applyFill="1" applyBorder="1" applyAlignment="1" applyProtection="1">
      <alignment horizontal="left" vertical="center" indent="1" shrinkToFit="1"/>
    </xf>
    <xf numFmtId="202" fontId="15" fillId="30" borderId="191" xfId="0" applyNumberFormat="1" applyFont="1" applyFill="1" applyBorder="1" applyAlignment="1" applyProtection="1">
      <alignment horizontal="center" vertical="center"/>
    </xf>
    <xf numFmtId="202" fontId="15" fillId="30" borderId="192" xfId="0" applyNumberFormat="1" applyFont="1" applyFill="1" applyBorder="1" applyAlignment="1" applyProtection="1">
      <alignment horizontal="center" vertical="center"/>
    </xf>
    <xf numFmtId="0" fontId="4" fillId="24" borderId="185" xfId="0" applyFont="1" applyFill="1" applyBorder="1" applyAlignment="1" applyProtection="1">
      <alignment horizontal="left" vertical="center" indent="1"/>
    </xf>
    <xf numFmtId="0" fontId="4" fillId="24" borderId="0" xfId="0" applyFont="1" applyFill="1" applyBorder="1" applyAlignment="1" applyProtection="1">
      <alignment horizontal="left" vertical="center" indent="1"/>
    </xf>
    <xf numFmtId="196" fontId="4" fillId="55" borderId="0" xfId="0" applyNumberFormat="1" applyFont="1" applyFill="1" applyBorder="1" applyAlignment="1" applyProtection="1">
      <alignment horizontal="right" vertical="center" shrinkToFit="1"/>
    </xf>
    <xf numFmtId="168" fontId="4" fillId="24" borderId="0" xfId="0" applyNumberFormat="1" applyFont="1" applyFill="1" applyBorder="1" applyAlignment="1" applyProtection="1">
      <alignment horizontal="right" vertical="center"/>
    </xf>
    <xf numFmtId="2" fontId="93" fillId="25" borderId="0" xfId="0" applyNumberFormat="1" applyFont="1" applyFill="1" applyBorder="1" applyAlignment="1" applyProtection="1">
      <alignment horizontal="left" vertical="center"/>
    </xf>
    <xf numFmtId="2" fontId="93" fillId="25" borderId="184" xfId="0" applyNumberFormat="1" applyFont="1" applyFill="1" applyBorder="1" applyAlignment="1" applyProtection="1">
      <alignment horizontal="left" vertical="center"/>
    </xf>
    <xf numFmtId="0" fontId="97" fillId="23" borderId="0" xfId="0" applyFont="1" applyFill="1" applyAlignment="1" applyProtection="1">
      <alignment horizontal="center" vertical="center" wrapText="1" shrinkToFit="1"/>
    </xf>
    <xf numFmtId="0" fontId="7" fillId="20" borderId="249" xfId="3" applyFont="1" applyFill="1" applyBorder="1" applyAlignment="1" applyProtection="1"/>
    <xf numFmtId="0" fontId="7" fillId="20" borderId="250" xfId="3" applyFont="1" applyFill="1" applyBorder="1" applyAlignment="1" applyProtection="1"/>
    <xf numFmtId="0" fontId="11" fillId="20" borderId="246" xfId="3" applyFont="1" applyFill="1" applyBorder="1" applyAlignment="1" applyProtection="1">
      <alignment horizontal="center" vertical="center"/>
    </xf>
    <xf numFmtId="0" fontId="11" fillId="20" borderId="247" xfId="3" applyFont="1" applyFill="1" applyBorder="1" applyAlignment="1" applyProtection="1">
      <alignment horizontal="center" vertical="center"/>
    </xf>
    <xf numFmtId="0" fontId="11" fillId="20" borderId="248" xfId="3" applyFont="1" applyFill="1" applyBorder="1" applyAlignment="1" applyProtection="1">
      <alignment horizontal="center" vertical="center"/>
    </xf>
    <xf numFmtId="0" fontId="11" fillId="20" borderId="189" xfId="3" applyFont="1" applyFill="1" applyBorder="1" applyAlignment="1" applyProtection="1">
      <alignment horizontal="center" vertical="center"/>
    </xf>
    <xf numFmtId="166" fontId="4" fillId="30" borderId="132" xfId="0" applyNumberFormat="1" applyFont="1" applyFill="1" applyBorder="1" applyAlignment="1" applyProtection="1">
      <alignment horizontal="right" vertical="center"/>
    </xf>
    <xf numFmtId="166" fontId="4" fillId="30" borderId="122" xfId="0" applyNumberFormat="1" applyFont="1" applyFill="1" applyBorder="1" applyAlignment="1" applyProtection="1">
      <alignment horizontal="right" vertical="center"/>
    </xf>
    <xf numFmtId="166" fontId="4" fillId="30" borderId="133" xfId="0" applyNumberFormat="1" applyFont="1" applyFill="1" applyBorder="1" applyAlignment="1" applyProtection="1">
      <alignment horizontal="right" vertical="center"/>
    </xf>
    <xf numFmtId="2" fontId="14" fillId="22" borderId="0" xfId="0" applyNumberFormat="1" applyFont="1" applyFill="1" applyBorder="1" applyAlignment="1" applyProtection="1">
      <alignment horizontal="left" vertical="center" indent="1"/>
    </xf>
    <xf numFmtId="169" fontId="15" fillId="30" borderId="191" xfId="0" applyNumberFormat="1" applyFont="1" applyFill="1" applyBorder="1" applyAlignment="1" applyProtection="1">
      <alignment horizontal="left" vertical="center"/>
    </xf>
    <xf numFmtId="169" fontId="15" fillId="30" borderId="192" xfId="0" applyNumberFormat="1" applyFont="1" applyFill="1" applyBorder="1" applyAlignment="1" applyProtection="1">
      <alignment horizontal="left" vertical="center"/>
    </xf>
    <xf numFmtId="166" fontId="4" fillId="30" borderId="132" xfId="0" applyNumberFormat="1" applyFont="1" applyFill="1" applyBorder="1" applyAlignment="1" applyProtection="1">
      <alignment horizontal="right" vertical="center" shrinkToFit="1"/>
    </xf>
    <xf numFmtId="166" fontId="4" fillId="30" borderId="122" xfId="0" applyNumberFormat="1" applyFont="1" applyFill="1" applyBorder="1" applyAlignment="1" applyProtection="1">
      <alignment horizontal="right" vertical="center" shrinkToFit="1"/>
    </xf>
    <xf numFmtId="166" fontId="4" fillId="30" borderId="133" xfId="0" applyNumberFormat="1" applyFont="1" applyFill="1" applyBorder="1" applyAlignment="1" applyProtection="1">
      <alignment horizontal="right" vertical="center" shrinkToFit="1"/>
    </xf>
    <xf numFmtId="197" fontId="4" fillId="21" borderId="0" xfId="0" applyNumberFormat="1" applyFont="1" applyFill="1" applyBorder="1" applyAlignment="1" applyProtection="1">
      <alignment horizontal="right" vertical="center"/>
      <protection locked="0"/>
    </xf>
    <xf numFmtId="0" fontId="4" fillId="24" borderId="185" xfId="0" applyFont="1" applyFill="1" applyBorder="1" applyAlignment="1" applyProtection="1">
      <alignment horizontal="center" vertical="center"/>
    </xf>
    <xf numFmtId="0" fontId="4" fillId="24" borderId="0" xfId="0" applyFont="1" applyFill="1" applyBorder="1" applyAlignment="1" applyProtection="1">
      <alignment horizontal="center" vertical="center"/>
    </xf>
    <xf numFmtId="0" fontId="129" fillId="24" borderId="0" xfId="0" applyFont="1" applyFill="1" applyBorder="1" applyAlignment="1" applyProtection="1">
      <alignment horizontal="center" vertical="center" shrinkToFit="1"/>
    </xf>
    <xf numFmtId="0" fontId="129" fillId="24" borderId="184" xfId="0" applyFont="1" applyFill="1" applyBorder="1" applyAlignment="1" applyProtection="1">
      <alignment horizontal="center" vertical="center" shrinkToFit="1"/>
    </xf>
    <xf numFmtId="199" fontId="81" fillId="22" borderId="0" xfId="0" applyNumberFormat="1" applyFont="1" applyFill="1" applyBorder="1" applyAlignment="1" applyProtection="1">
      <alignment horizontal="right" vertical="center"/>
    </xf>
    <xf numFmtId="0" fontId="113" fillId="23" borderId="0" xfId="0" applyFont="1" applyFill="1" applyAlignment="1" applyProtection="1">
      <alignment horizontal="center" vertical="center"/>
    </xf>
    <xf numFmtId="218" fontId="15" fillId="19" borderId="265" xfId="0" applyNumberFormat="1" applyFont="1" applyFill="1" applyBorder="1" applyAlignment="1" applyProtection="1">
      <alignment horizontal="center" shrinkToFit="1"/>
    </xf>
    <xf numFmtId="218" fontId="15" fillId="19" borderId="266" xfId="0" applyNumberFormat="1" applyFont="1" applyFill="1" applyBorder="1" applyAlignment="1" applyProtection="1">
      <alignment horizontal="center" shrinkToFit="1"/>
    </xf>
    <xf numFmtId="218" fontId="15" fillId="19" borderId="267" xfId="0" applyNumberFormat="1" applyFont="1" applyFill="1" applyBorder="1" applyAlignment="1" applyProtection="1">
      <alignment horizontal="center" shrinkToFit="1"/>
    </xf>
    <xf numFmtId="218" fontId="15" fillId="19" borderId="268" xfId="0" applyNumberFormat="1" applyFont="1" applyFill="1" applyBorder="1" applyAlignment="1" applyProtection="1">
      <alignment horizontal="center" shrinkToFit="1"/>
    </xf>
    <xf numFmtId="218" fontId="15" fillId="19" borderId="179" xfId="0" applyNumberFormat="1" applyFont="1" applyFill="1" applyBorder="1" applyAlignment="1" applyProtection="1">
      <alignment horizontal="center" shrinkToFit="1"/>
    </xf>
    <xf numFmtId="218" fontId="15" fillId="19" borderId="269" xfId="0" applyNumberFormat="1" applyFont="1" applyFill="1" applyBorder="1" applyAlignment="1" applyProtection="1">
      <alignment horizontal="center" shrinkToFit="1"/>
    </xf>
    <xf numFmtId="0" fontId="4" fillId="29" borderId="0" xfId="0" applyFont="1" applyFill="1" applyBorder="1" applyAlignment="1" applyProtection="1">
      <alignment horizontal="left" vertical="center"/>
    </xf>
    <xf numFmtId="175" fontId="5" fillId="29" borderId="0" xfId="0" applyNumberFormat="1" applyFont="1" applyFill="1" applyBorder="1" applyAlignment="1" applyProtection="1">
      <alignment horizontal="right" vertical="center"/>
    </xf>
    <xf numFmtId="0" fontId="127" fillId="20" borderId="246" xfId="3" applyFont="1" applyFill="1" applyBorder="1" applyAlignment="1" applyProtection="1">
      <alignment horizontal="center" vertical="center"/>
    </xf>
    <xf numFmtId="0" fontId="127" fillId="20" borderId="247" xfId="3" applyFont="1" applyFill="1" applyBorder="1" applyAlignment="1" applyProtection="1">
      <alignment horizontal="center" vertical="center"/>
    </xf>
    <xf numFmtId="0" fontId="127" fillId="20" borderId="248" xfId="3" applyFont="1" applyFill="1" applyBorder="1" applyAlignment="1" applyProtection="1">
      <alignment horizontal="center" vertical="center"/>
    </xf>
    <xf numFmtId="0" fontId="127" fillId="20" borderId="189" xfId="3" applyFont="1" applyFill="1" applyBorder="1" applyAlignment="1" applyProtection="1">
      <alignment horizontal="center" vertical="center"/>
    </xf>
    <xf numFmtId="0" fontId="5" fillId="29" borderId="0" xfId="0" applyFont="1" applyFill="1" applyBorder="1" applyAlignment="1" applyProtection="1">
      <alignment horizontal="left" vertical="center"/>
    </xf>
    <xf numFmtId="238" fontId="64" fillId="22" borderId="266" xfId="0" applyNumberFormat="1" applyFont="1" applyFill="1" applyBorder="1" applyAlignment="1" applyProtection="1">
      <alignment horizontal="right" vertical="center" indent="1" shrinkToFit="1"/>
    </xf>
    <xf numFmtId="238" fontId="64" fillId="22" borderId="267" xfId="0" applyNumberFormat="1" applyFont="1" applyFill="1" applyBorder="1" applyAlignment="1" applyProtection="1">
      <alignment horizontal="right" vertical="center" indent="1" shrinkToFit="1"/>
    </xf>
    <xf numFmtId="238" fontId="64" fillId="22" borderId="0" xfId="0" applyNumberFormat="1" applyFont="1" applyFill="1" applyBorder="1" applyAlignment="1" applyProtection="1">
      <alignment horizontal="right" vertical="center" indent="1" shrinkToFit="1"/>
    </xf>
    <xf numFmtId="238" fontId="64" fillId="22" borderId="270" xfId="0" applyNumberFormat="1" applyFont="1" applyFill="1" applyBorder="1" applyAlignment="1" applyProtection="1">
      <alignment horizontal="right" vertical="center" indent="1" shrinkToFit="1"/>
    </xf>
    <xf numFmtId="238" fontId="64" fillId="22" borderId="217" xfId="0" applyNumberFormat="1" applyFont="1" applyFill="1" applyBorder="1" applyAlignment="1" applyProtection="1">
      <alignment horizontal="right" vertical="center" indent="1" shrinkToFit="1"/>
    </xf>
    <xf numFmtId="238" fontId="64" fillId="22" borderId="271" xfId="0" applyNumberFormat="1" applyFont="1" applyFill="1" applyBorder="1" applyAlignment="1" applyProtection="1">
      <alignment horizontal="right" vertical="center" indent="1" shrinkToFit="1"/>
    </xf>
    <xf numFmtId="2" fontId="5" fillId="29" borderId="0" xfId="0" applyNumberFormat="1" applyFont="1" applyFill="1" applyBorder="1" applyAlignment="1" applyProtection="1">
      <alignment horizontal="left" vertical="center"/>
    </xf>
    <xf numFmtId="0" fontId="91" fillId="23" borderId="0" xfId="0" applyFont="1" applyFill="1" applyBorder="1" applyAlignment="1" applyProtection="1">
      <alignment horizontal="center" vertical="center" wrapText="1"/>
    </xf>
    <xf numFmtId="2" fontId="5" fillId="29" borderId="0" xfId="0" quotePrefix="1" applyNumberFormat="1" applyFont="1" applyFill="1" applyBorder="1" applyAlignment="1" applyProtection="1">
      <alignment horizontal="left" vertical="center"/>
    </xf>
    <xf numFmtId="239" fontId="6" fillId="19" borderId="266" xfId="0" applyNumberFormat="1" applyFont="1" applyFill="1" applyBorder="1" applyAlignment="1" applyProtection="1">
      <alignment horizontal="center" vertical="center" shrinkToFit="1"/>
    </xf>
    <xf numFmtId="239" fontId="6" fillId="19" borderId="267" xfId="0" applyNumberFormat="1" applyFont="1" applyFill="1" applyBorder="1" applyAlignment="1" applyProtection="1">
      <alignment horizontal="center" vertical="center" shrinkToFit="1"/>
    </xf>
    <xf numFmtId="239" fontId="6" fillId="19" borderId="0" xfId="0" applyNumberFormat="1" applyFont="1" applyFill="1" applyBorder="1" applyAlignment="1" applyProtection="1">
      <alignment horizontal="center" vertical="center" shrinkToFit="1"/>
    </xf>
    <xf numFmtId="239" fontId="6" fillId="19" borderId="270" xfId="0" applyNumberFormat="1" applyFont="1" applyFill="1" applyBorder="1" applyAlignment="1" applyProtection="1">
      <alignment horizontal="center" vertical="center" shrinkToFit="1"/>
    </xf>
    <xf numFmtId="239" fontId="6" fillId="19" borderId="217" xfId="0" applyNumberFormat="1" applyFont="1" applyFill="1" applyBorder="1" applyAlignment="1" applyProtection="1">
      <alignment horizontal="center" vertical="center" shrinkToFit="1"/>
    </xf>
    <xf numFmtId="239" fontId="6" fillId="19" borderId="271" xfId="0" applyNumberFormat="1" applyFont="1" applyFill="1" applyBorder="1" applyAlignment="1" applyProtection="1">
      <alignment horizontal="center" vertical="center" shrinkToFit="1"/>
    </xf>
    <xf numFmtId="2" fontId="15" fillId="22" borderId="0" xfId="0" applyNumberFormat="1" applyFont="1" applyFill="1" applyBorder="1" applyAlignment="1" applyProtection="1">
      <alignment horizontal="left" vertical="center" indent="1"/>
    </xf>
    <xf numFmtId="2" fontId="5" fillId="22" borderId="272" xfId="0" quotePrefix="1" applyNumberFormat="1" applyFont="1" applyFill="1" applyBorder="1" applyAlignment="1" applyProtection="1">
      <alignment horizontal="left" vertical="center" indent="1" shrinkToFit="1"/>
    </xf>
    <xf numFmtId="2" fontId="5" fillId="22" borderId="0" xfId="0" quotePrefix="1" applyNumberFormat="1" applyFont="1" applyFill="1" applyBorder="1" applyAlignment="1" applyProtection="1">
      <alignment horizontal="left" vertical="center" indent="1" shrinkToFit="1"/>
    </xf>
    <xf numFmtId="2" fontId="5" fillId="22" borderId="273" xfId="0" quotePrefix="1" applyNumberFormat="1" applyFont="1" applyFill="1" applyBorder="1" applyAlignment="1" applyProtection="1">
      <alignment horizontal="left" vertical="center" indent="1" shrinkToFit="1"/>
    </xf>
    <xf numFmtId="2" fontId="5" fillId="22" borderId="217" xfId="0" quotePrefix="1" applyNumberFormat="1" applyFont="1" applyFill="1" applyBorder="1" applyAlignment="1" applyProtection="1">
      <alignment horizontal="left" vertical="center" indent="1" shrinkToFit="1"/>
    </xf>
    <xf numFmtId="2" fontId="5" fillId="19" borderId="265" xfId="0" quotePrefix="1" applyNumberFormat="1" applyFont="1" applyFill="1" applyBorder="1" applyAlignment="1" applyProtection="1">
      <alignment horizontal="left" vertical="center" shrinkToFit="1"/>
    </xf>
    <xf numFmtId="2" fontId="5" fillId="19" borderId="266" xfId="0" quotePrefix="1" applyNumberFormat="1" applyFont="1" applyFill="1" applyBorder="1" applyAlignment="1" applyProtection="1">
      <alignment horizontal="left" vertical="center" shrinkToFit="1"/>
    </xf>
    <xf numFmtId="2" fontId="5" fillId="19" borderId="272" xfId="0" quotePrefix="1" applyNumberFormat="1" applyFont="1" applyFill="1" applyBorder="1" applyAlignment="1" applyProtection="1">
      <alignment horizontal="left" vertical="center" wrapText="1" indent="1"/>
    </xf>
    <xf numFmtId="2" fontId="5" fillId="19" borderId="0" xfId="0" quotePrefix="1" applyNumberFormat="1" applyFont="1" applyFill="1" applyBorder="1" applyAlignment="1" applyProtection="1">
      <alignment horizontal="left" vertical="center" wrapText="1" indent="1"/>
    </xf>
    <xf numFmtId="2" fontId="5" fillId="19" borderId="273" xfId="0" quotePrefix="1" applyNumberFormat="1" applyFont="1" applyFill="1" applyBorder="1" applyAlignment="1" applyProtection="1">
      <alignment horizontal="left" vertical="center" wrapText="1" indent="1"/>
    </xf>
    <xf numFmtId="2" fontId="5" fillId="19" borderId="217" xfId="0" quotePrefix="1" applyNumberFormat="1" applyFont="1" applyFill="1" applyBorder="1" applyAlignment="1" applyProtection="1">
      <alignment horizontal="left" vertical="center" wrapText="1" indent="1"/>
    </xf>
    <xf numFmtId="2" fontId="5" fillId="22" borderId="265" xfId="0" quotePrefix="1" applyNumberFormat="1" applyFont="1" applyFill="1" applyBorder="1" applyAlignment="1" applyProtection="1">
      <alignment horizontal="left" vertical="center" shrinkToFit="1"/>
    </xf>
    <xf numFmtId="2" fontId="5" fillId="22" borderId="266" xfId="0" quotePrefix="1" applyNumberFormat="1" applyFont="1" applyFill="1" applyBorder="1" applyAlignment="1" applyProtection="1">
      <alignment horizontal="left" vertical="center" shrinkToFit="1"/>
    </xf>
    <xf numFmtId="0" fontId="130" fillId="20" borderId="249" xfId="3" applyFont="1" applyFill="1" applyBorder="1" applyAlignment="1" applyProtection="1"/>
    <xf numFmtId="0" fontId="130" fillId="20" borderId="250" xfId="3" applyFont="1" applyFill="1" applyBorder="1" applyAlignment="1" applyProtection="1"/>
    <xf numFmtId="2" fontId="81" fillId="25" borderId="0" xfId="0" applyNumberFormat="1" applyFont="1" applyFill="1" applyBorder="1" applyAlignment="1" applyProtection="1">
      <alignment horizontal="left" vertical="center"/>
    </xf>
    <xf numFmtId="2" fontId="81" fillId="25" borderId="184" xfId="0" applyNumberFormat="1" applyFont="1" applyFill="1" applyBorder="1" applyAlignment="1" applyProtection="1">
      <alignment horizontal="left" vertical="center"/>
    </xf>
    <xf numFmtId="2" fontId="81" fillId="25" borderId="179" xfId="0" applyNumberFormat="1" applyFont="1" applyFill="1" applyBorder="1" applyAlignment="1" applyProtection="1">
      <alignment horizontal="left" vertical="center"/>
    </xf>
    <xf numFmtId="2" fontId="81" fillId="25" borderId="187" xfId="0" applyNumberFormat="1" applyFont="1" applyFill="1" applyBorder="1" applyAlignment="1" applyProtection="1">
      <alignment horizontal="left" vertical="center"/>
    </xf>
    <xf numFmtId="238" fontId="6" fillId="19" borderId="272" xfId="0" applyNumberFormat="1" applyFont="1" applyFill="1" applyBorder="1" applyAlignment="1" applyProtection="1">
      <alignment horizontal="right" vertical="center" indent="1" shrinkToFit="1"/>
    </xf>
    <xf numFmtId="238" fontId="6" fillId="19" borderId="0" xfId="0" applyNumberFormat="1" applyFont="1" applyFill="1" applyBorder="1" applyAlignment="1" applyProtection="1">
      <alignment horizontal="right" vertical="center" indent="1" shrinkToFit="1"/>
    </xf>
    <xf numFmtId="238" fontId="6" fillId="19" borderId="270" xfId="0" applyNumberFormat="1" applyFont="1" applyFill="1" applyBorder="1" applyAlignment="1" applyProtection="1">
      <alignment horizontal="right" vertical="center" indent="1" shrinkToFit="1"/>
    </xf>
    <xf numFmtId="238" fontId="6" fillId="19" borderId="273" xfId="0" applyNumberFormat="1" applyFont="1" applyFill="1" applyBorder="1" applyAlignment="1" applyProtection="1">
      <alignment horizontal="right" vertical="center" indent="1" shrinkToFit="1"/>
    </xf>
    <xf numFmtId="238" fontId="6" fillId="19" borderId="217" xfId="0" applyNumberFormat="1" applyFont="1" applyFill="1" applyBorder="1" applyAlignment="1" applyProtection="1">
      <alignment horizontal="right" vertical="center" indent="1" shrinkToFit="1"/>
    </xf>
    <xf numFmtId="238" fontId="6" fillId="19" borderId="271" xfId="0" applyNumberFormat="1" applyFont="1" applyFill="1" applyBorder="1" applyAlignment="1" applyProtection="1">
      <alignment horizontal="right" vertical="center" indent="1" shrinkToFit="1"/>
    </xf>
    <xf numFmtId="217" fontId="14" fillId="56" borderId="217" xfId="0" applyNumberFormat="1" applyFont="1" applyFill="1" applyBorder="1" applyAlignment="1" applyProtection="1">
      <alignment horizontal="right" vertical="center"/>
    </xf>
    <xf numFmtId="229" fontId="13" fillId="19" borderId="272" xfId="0" applyNumberFormat="1" applyFont="1" applyFill="1" applyBorder="1" applyAlignment="1" applyProtection="1">
      <alignment horizontal="right" vertical="center" indent="1" shrinkToFit="1"/>
    </xf>
    <xf numFmtId="229" fontId="13" fillId="19" borderId="0" xfId="0" applyNumberFormat="1" applyFont="1" applyFill="1" applyBorder="1" applyAlignment="1" applyProtection="1">
      <alignment horizontal="right" vertical="center" indent="1" shrinkToFit="1"/>
    </xf>
    <xf numFmtId="229" fontId="13" fillId="19" borderId="270" xfId="0" applyNumberFormat="1" applyFont="1" applyFill="1" applyBorder="1" applyAlignment="1" applyProtection="1">
      <alignment horizontal="right" vertical="center" indent="1" shrinkToFit="1"/>
    </xf>
    <xf numFmtId="0" fontId="4" fillId="29" borderId="0" xfId="0" quotePrefix="1" applyFont="1" applyFill="1" applyBorder="1" applyAlignment="1" applyProtection="1">
      <alignment horizontal="left" vertical="center"/>
    </xf>
    <xf numFmtId="0" fontId="4" fillId="29" borderId="217" xfId="0" quotePrefix="1" applyFont="1" applyFill="1" applyBorder="1" applyAlignment="1" applyProtection="1">
      <alignment horizontal="left" vertical="center"/>
    </xf>
    <xf numFmtId="0" fontId="4" fillId="19" borderId="274" xfId="0" applyFont="1" applyFill="1" applyBorder="1" applyAlignment="1" applyProtection="1">
      <alignment horizontal="left" vertical="center" wrapText="1"/>
    </xf>
    <xf numFmtId="0" fontId="4" fillId="19" borderId="275" xfId="0" applyFont="1" applyFill="1" applyBorder="1" applyAlignment="1" applyProtection="1">
      <alignment horizontal="left" vertical="center" wrapText="1"/>
    </xf>
    <xf numFmtId="0" fontId="4" fillId="19" borderId="276" xfId="0" applyFont="1" applyFill="1" applyBorder="1" applyAlignment="1" applyProtection="1">
      <alignment horizontal="left" vertical="center" wrapText="1"/>
    </xf>
    <xf numFmtId="0" fontId="4" fillId="19" borderId="185" xfId="0" applyFont="1" applyFill="1" applyBorder="1" applyAlignment="1" applyProtection="1">
      <alignment horizontal="left" vertical="center" wrapText="1"/>
    </xf>
    <xf numFmtId="0" fontId="4" fillId="19" borderId="0" xfId="0" applyFont="1" applyFill="1" applyBorder="1" applyAlignment="1" applyProtection="1">
      <alignment horizontal="left" vertical="center" wrapText="1"/>
    </xf>
    <xf numFmtId="0" fontId="4" fillId="19" borderId="270" xfId="0" applyFont="1" applyFill="1" applyBorder="1" applyAlignment="1" applyProtection="1">
      <alignment horizontal="left" vertical="center" wrapText="1"/>
    </xf>
    <xf numFmtId="0" fontId="4" fillId="19" borderId="186" xfId="0" applyFont="1" applyFill="1" applyBorder="1" applyAlignment="1" applyProtection="1">
      <alignment horizontal="left" vertical="center" wrapText="1"/>
    </xf>
    <xf numFmtId="0" fontId="4" fillId="19" borderId="179" xfId="0" applyFont="1" applyFill="1" applyBorder="1" applyAlignment="1" applyProtection="1">
      <alignment horizontal="left" vertical="center" wrapText="1"/>
    </xf>
    <xf numFmtId="0" fontId="4" fillId="19" borderId="269" xfId="0" applyFont="1" applyFill="1" applyBorder="1" applyAlignment="1" applyProtection="1">
      <alignment horizontal="left" vertical="center" wrapText="1"/>
    </xf>
    <xf numFmtId="230" fontId="13" fillId="19" borderId="268" xfId="0" applyNumberFormat="1" applyFont="1" applyFill="1" applyBorder="1" applyAlignment="1" applyProtection="1">
      <alignment horizontal="right" vertical="center" indent="1" shrinkToFit="1"/>
    </xf>
    <xf numFmtId="230" fontId="13" fillId="19" borderId="179" xfId="0" applyNumberFormat="1" applyFont="1" applyFill="1" applyBorder="1" applyAlignment="1" applyProtection="1">
      <alignment horizontal="right" vertical="center" indent="1" shrinkToFit="1"/>
    </xf>
    <xf numFmtId="230" fontId="13" fillId="19" borderId="269" xfId="0" applyNumberFormat="1" applyFont="1" applyFill="1" applyBorder="1" applyAlignment="1" applyProtection="1">
      <alignment horizontal="right" vertical="center" indent="1" shrinkToFit="1"/>
    </xf>
    <xf numFmtId="0" fontId="5" fillId="19" borderId="134" xfId="2" applyFont="1" applyFill="1" applyBorder="1" applyAlignment="1" applyProtection="1">
      <alignment horizontal="center" vertical="center" textRotation="90"/>
    </xf>
    <xf numFmtId="0" fontId="5" fillId="19" borderId="60" xfId="2" applyFont="1" applyFill="1" applyBorder="1" applyAlignment="1" applyProtection="1">
      <alignment horizontal="center" vertical="center" textRotation="90"/>
    </xf>
    <xf numFmtId="0" fontId="5" fillId="19" borderId="113" xfId="2" applyFont="1" applyFill="1" applyBorder="1" applyAlignment="1" applyProtection="1">
      <alignment horizontal="center" vertical="center" textRotation="90"/>
    </xf>
    <xf numFmtId="196" fontId="131" fillId="22" borderId="0" xfId="0" applyNumberFormat="1" applyFont="1" applyFill="1" applyBorder="1" applyAlignment="1" applyProtection="1">
      <alignment horizontal="right" vertical="center" shrinkToFit="1"/>
    </xf>
    <xf numFmtId="196" fontId="131" fillId="22" borderId="184" xfId="0" applyNumberFormat="1" applyFont="1" applyFill="1" applyBorder="1" applyAlignment="1" applyProtection="1">
      <alignment horizontal="right" vertical="center" shrinkToFit="1"/>
    </xf>
    <xf numFmtId="228" fontId="15" fillId="21" borderId="0" xfId="0" applyNumberFormat="1" applyFont="1" applyFill="1" applyBorder="1" applyAlignment="1" applyProtection="1">
      <alignment horizontal="right" vertical="center"/>
      <protection locked="0"/>
    </xf>
    <xf numFmtId="2" fontId="84" fillId="22" borderId="0" xfId="0" applyNumberFormat="1" applyFont="1" applyFill="1" applyBorder="1" applyAlignment="1" applyProtection="1">
      <alignment horizontal="center" vertical="center" shrinkToFit="1"/>
    </xf>
    <xf numFmtId="169" fontId="15" fillId="30" borderId="191" xfId="0" applyNumberFormat="1" applyFont="1" applyFill="1" applyBorder="1" applyAlignment="1" applyProtection="1">
      <alignment horizontal="center" vertical="center"/>
    </xf>
    <xf numFmtId="169" fontId="15" fillId="30" borderId="192" xfId="0" applyNumberFormat="1" applyFont="1" applyFill="1" applyBorder="1" applyAlignment="1" applyProtection="1">
      <alignment horizontal="center" vertical="center"/>
    </xf>
    <xf numFmtId="0" fontId="79" fillId="54" borderId="79" xfId="0" applyFont="1" applyFill="1" applyBorder="1" applyAlignment="1">
      <alignment horizontal="center" vertical="center"/>
    </xf>
    <xf numFmtId="0" fontId="79" fillId="54" borderId="123" xfId="0" applyFont="1" applyFill="1" applyBorder="1" applyAlignment="1">
      <alignment horizontal="center" vertical="center"/>
    </xf>
    <xf numFmtId="0" fontId="79" fillId="54" borderId="80" xfId="0" applyFont="1" applyFill="1" applyBorder="1" applyAlignment="1">
      <alignment horizontal="center" vertical="center"/>
    </xf>
    <xf numFmtId="0" fontId="102" fillId="57" borderId="304" xfId="3" applyFont="1" applyFill="1" applyBorder="1" applyAlignment="1" applyProtection="1">
      <alignment horizontal="center" vertical="center"/>
    </xf>
    <xf numFmtId="0" fontId="102" fillId="57" borderId="305" xfId="3" applyFont="1" applyFill="1" applyBorder="1" applyAlignment="1" applyProtection="1">
      <alignment horizontal="center" vertical="center"/>
    </xf>
    <xf numFmtId="0" fontId="68" fillId="47" borderId="138" xfId="3" applyFont="1" applyFill="1" applyBorder="1" applyAlignment="1" applyProtection="1">
      <alignment horizontal="center" vertical="center"/>
    </xf>
    <xf numFmtId="0" fontId="68" fillId="47" borderId="139" xfId="3" applyFont="1" applyFill="1" applyBorder="1" applyAlignment="1" applyProtection="1">
      <alignment horizontal="center" vertical="center"/>
    </xf>
    <xf numFmtId="0" fontId="68" fillId="47" borderId="140" xfId="3" applyFont="1" applyFill="1" applyBorder="1" applyAlignment="1" applyProtection="1">
      <alignment horizontal="center" vertical="center"/>
    </xf>
    <xf numFmtId="0" fontId="132" fillId="47" borderId="0" xfId="0" applyFont="1" applyFill="1" applyAlignment="1">
      <alignment horizontal="center" vertical="center"/>
    </xf>
    <xf numFmtId="0" fontId="79" fillId="19" borderId="123" xfId="0" applyFont="1" applyFill="1" applyBorder="1" applyAlignment="1">
      <alignment horizontal="left" vertical="center" indent="2"/>
    </xf>
    <xf numFmtId="0" fontId="79" fillId="47" borderId="123" xfId="0" applyFont="1" applyFill="1" applyBorder="1" applyAlignment="1">
      <alignment horizontal="left" vertical="center" indent="2"/>
    </xf>
    <xf numFmtId="0" fontId="79" fillId="19" borderId="79" xfId="0" applyFont="1" applyFill="1" applyBorder="1" applyAlignment="1">
      <alignment horizontal="center" vertical="center"/>
    </xf>
    <xf numFmtId="0" fontId="79" fillId="19" borderId="123" xfId="0" applyFont="1" applyFill="1" applyBorder="1" applyAlignment="1">
      <alignment horizontal="center" vertical="center"/>
    </xf>
    <xf numFmtId="0" fontId="79" fillId="19" borderId="80" xfId="0" applyFont="1" applyFill="1" applyBorder="1" applyAlignment="1">
      <alignment horizontal="center" vertical="center"/>
    </xf>
    <xf numFmtId="0" fontId="79" fillId="47" borderId="79" xfId="0" applyFont="1" applyFill="1" applyBorder="1" applyAlignment="1">
      <alignment horizontal="center" vertical="center"/>
    </xf>
    <xf numFmtId="0" fontId="79" fillId="47" borderId="123" xfId="0" applyFont="1" applyFill="1" applyBorder="1" applyAlignment="1">
      <alignment horizontal="center" vertical="center"/>
    </xf>
    <xf numFmtId="0" fontId="79" fillId="47" borderId="80" xfId="0" applyFont="1" applyFill="1" applyBorder="1" applyAlignment="1">
      <alignment horizontal="center" vertical="center"/>
    </xf>
    <xf numFmtId="0" fontId="5" fillId="19" borderId="193" xfId="0" applyFont="1" applyFill="1" applyBorder="1" applyAlignment="1" applyProtection="1">
      <alignment horizontal="center" vertical="center"/>
    </xf>
    <xf numFmtId="0" fontId="5" fillId="19" borderId="194" xfId="0" applyFont="1" applyFill="1" applyBorder="1" applyAlignment="1" applyProtection="1">
      <alignment horizontal="center" vertical="center"/>
    </xf>
    <xf numFmtId="0" fontId="6" fillId="40" borderId="0" xfId="0" applyFont="1" applyFill="1" applyBorder="1" applyAlignment="1" applyProtection="1">
      <alignment horizontal="left" vertical="center"/>
    </xf>
    <xf numFmtId="217" fontId="6" fillId="56" borderId="0" xfId="0" applyNumberFormat="1" applyFont="1" applyFill="1" applyBorder="1" applyAlignment="1" applyProtection="1">
      <alignment horizontal="right" vertical="center"/>
    </xf>
    <xf numFmtId="2" fontId="6" fillId="29" borderId="0" xfId="0" applyNumberFormat="1" applyFont="1" applyFill="1" applyBorder="1" applyAlignment="1" applyProtection="1">
      <alignment horizontal="left" vertical="center"/>
    </xf>
    <xf numFmtId="171" fontId="11" fillId="22" borderId="0" xfId="0" applyNumberFormat="1" applyFont="1" applyFill="1" applyBorder="1" applyAlignment="1" applyProtection="1">
      <alignment horizontal="left" vertical="center"/>
    </xf>
    <xf numFmtId="221" fontId="5" fillId="22" borderId="0" xfId="0" applyNumberFormat="1" applyFont="1" applyFill="1" applyBorder="1" applyAlignment="1" applyProtection="1">
      <alignment horizontal="center" vertical="center" shrinkToFit="1"/>
    </xf>
    <xf numFmtId="168" fontId="5" fillId="22" borderId="0" xfId="0" applyNumberFormat="1" applyFont="1" applyFill="1" applyBorder="1" applyAlignment="1" applyProtection="1">
      <alignment horizontal="right" vertical="center" indent="1" shrinkToFit="1"/>
    </xf>
    <xf numFmtId="168" fontId="5" fillId="22" borderId="184" xfId="0" applyNumberFormat="1" applyFont="1" applyFill="1" applyBorder="1" applyAlignment="1" applyProtection="1">
      <alignment horizontal="right" vertical="center" indent="1" shrinkToFit="1"/>
    </xf>
    <xf numFmtId="223" fontId="15" fillId="22" borderId="0" xfId="0" applyNumberFormat="1" applyFont="1" applyFill="1" applyBorder="1" applyAlignment="1" applyProtection="1">
      <alignment horizontal="center" vertical="center" shrinkToFit="1"/>
    </xf>
    <xf numFmtId="176" fontId="13" fillId="29" borderId="0" xfId="0" applyNumberFormat="1" applyFont="1" applyFill="1" applyBorder="1" applyAlignment="1" applyProtection="1">
      <alignment horizontal="right" vertical="center" shrinkToFit="1"/>
    </xf>
    <xf numFmtId="176" fontId="13" fillId="29" borderId="194" xfId="0" applyNumberFormat="1" applyFont="1" applyFill="1" applyBorder="1" applyAlignment="1" applyProtection="1">
      <alignment horizontal="right" vertical="center" shrinkToFit="1"/>
    </xf>
    <xf numFmtId="176" fontId="13" fillId="29" borderId="179" xfId="0" applyNumberFormat="1" applyFont="1" applyFill="1" applyBorder="1" applyAlignment="1" applyProtection="1">
      <alignment horizontal="right" vertical="center" shrinkToFit="1"/>
    </xf>
    <xf numFmtId="176" fontId="13" fillId="29" borderId="283" xfId="0" applyNumberFormat="1" applyFont="1" applyFill="1" applyBorder="1" applyAlignment="1" applyProtection="1">
      <alignment horizontal="right" vertical="center" shrinkToFit="1"/>
    </xf>
    <xf numFmtId="0" fontId="5" fillId="19" borderId="213" xfId="0" applyFont="1" applyFill="1" applyBorder="1" applyAlignment="1" applyProtection="1">
      <alignment horizontal="center" vertical="center" shrinkToFit="1"/>
    </xf>
    <xf numFmtId="0" fontId="5" fillId="19" borderId="210" xfId="0" applyFont="1" applyFill="1" applyBorder="1" applyAlignment="1" applyProtection="1">
      <alignment horizontal="center" vertical="center" shrinkToFit="1"/>
    </xf>
    <xf numFmtId="0" fontId="5" fillId="19" borderId="214" xfId="0" applyFont="1" applyFill="1" applyBorder="1" applyAlignment="1" applyProtection="1">
      <alignment horizontal="center" vertical="center" shrinkToFit="1"/>
    </xf>
    <xf numFmtId="0" fontId="5" fillId="19" borderId="193" xfId="0" applyFont="1" applyFill="1" applyBorder="1" applyAlignment="1" applyProtection="1">
      <alignment horizontal="center" vertical="center" shrinkToFit="1"/>
    </xf>
    <xf numFmtId="0" fontId="5" fillId="19" borderId="194" xfId="0" applyFont="1" applyFill="1" applyBorder="1" applyAlignment="1" applyProtection="1">
      <alignment horizontal="center" vertical="center" shrinkToFit="1"/>
    </xf>
    <xf numFmtId="2" fontId="42" fillId="22" borderId="0" xfId="0" applyNumberFormat="1" applyFont="1" applyFill="1" applyBorder="1" applyAlignment="1" applyProtection="1">
      <alignment horizontal="left" vertical="center"/>
    </xf>
    <xf numFmtId="2" fontId="46" fillId="22" borderId="0" xfId="0" applyNumberFormat="1" applyFont="1" applyFill="1" applyBorder="1" applyAlignment="1" applyProtection="1">
      <alignment horizontal="left" vertical="center"/>
    </xf>
    <xf numFmtId="204" fontId="15" fillId="22" borderId="0" xfId="0" applyNumberFormat="1" applyFont="1" applyFill="1" applyBorder="1" applyAlignment="1" applyProtection="1">
      <alignment horizontal="right" vertical="center" shrinkToFit="1"/>
    </xf>
    <xf numFmtId="2" fontId="11" fillId="22" borderId="0" xfId="0" applyNumberFormat="1" applyFont="1" applyFill="1" applyBorder="1" applyAlignment="1" applyProtection="1">
      <alignment horizontal="left" vertical="center"/>
    </xf>
    <xf numFmtId="182" fontId="15" fillId="22" borderId="0" xfId="0" applyNumberFormat="1" applyFont="1" applyFill="1" applyBorder="1" applyAlignment="1" applyProtection="1">
      <alignment horizontal="left" vertical="center" shrinkToFit="1"/>
    </xf>
    <xf numFmtId="166" fontId="11" fillId="22" borderId="0" xfId="0" applyNumberFormat="1" applyFont="1" applyFill="1" applyBorder="1" applyAlignment="1" applyProtection="1">
      <alignment horizontal="right" vertical="center" shrinkToFit="1"/>
    </xf>
    <xf numFmtId="204" fontId="6" fillId="24" borderId="0" xfId="0" applyNumberFormat="1" applyFont="1" applyFill="1" applyBorder="1" applyAlignment="1" applyProtection="1">
      <alignment horizontal="right" vertical="center" indent="1" shrinkToFit="1"/>
    </xf>
    <xf numFmtId="204" fontId="6" fillId="24" borderId="184" xfId="0" applyNumberFormat="1" applyFont="1" applyFill="1" applyBorder="1" applyAlignment="1" applyProtection="1">
      <alignment horizontal="right" vertical="center" indent="1" shrinkToFit="1"/>
    </xf>
    <xf numFmtId="171" fontId="11" fillId="22" borderId="0" xfId="0" applyNumberFormat="1" applyFont="1" applyFill="1" applyBorder="1" applyAlignment="1" applyProtection="1">
      <alignment horizontal="right" vertical="center" indent="1" shrinkToFit="1"/>
    </xf>
    <xf numFmtId="171" fontId="11" fillId="22" borderId="184" xfId="0" applyNumberFormat="1" applyFont="1" applyFill="1" applyBorder="1" applyAlignment="1" applyProtection="1">
      <alignment horizontal="right" vertical="center" indent="1" shrinkToFit="1"/>
    </xf>
    <xf numFmtId="2" fontId="4" fillId="26" borderId="0" xfId="0" applyNumberFormat="1" applyFont="1" applyFill="1" applyBorder="1" applyAlignment="1" applyProtection="1">
      <alignment horizontal="center" vertical="center" shrinkToFit="1"/>
    </xf>
    <xf numFmtId="2" fontId="4" fillId="26" borderId="184" xfId="0" applyNumberFormat="1" applyFont="1" applyFill="1" applyBorder="1" applyAlignment="1" applyProtection="1">
      <alignment horizontal="center" vertical="center" shrinkToFit="1"/>
    </xf>
    <xf numFmtId="0" fontId="6" fillId="19" borderId="193" xfId="0" applyFont="1" applyFill="1" applyBorder="1" applyAlignment="1" applyProtection="1">
      <alignment horizontal="right" vertical="center"/>
    </xf>
    <xf numFmtId="3" fontId="6" fillId="19" borderId="0" xfId="0" applyNumberFormat="1" applyFont="1" applyFill="1" applyBorder="1" applyAlignment="1" applyProtection="1">
      <alignment horizontal="left" vertical="center"/>
    </xf>
    <xf numFmtId="3" fontId="6" fillId="19" borderId="194" xfId="0" applyNumberFormat="1" applyFont="1" applyFill="1" applyBorder="1" applyAlignment="1" applyProtection="1">
      <alignment horizontal="left" vertical="center"/>
    </xf>
    <xf numFmtId="2" fontId="11" fillId="29" borderId="282" xfId="0" applyNumberFormat="1" applyFont="1" applyFill="1" applyBorder="1" applyAlignment="1" applyProtection="1">
      <alignment horizontal="left" vertical="center"/>
    </xf>
    <xf numFmtId="2" fontId="11" fillId="29" borderId="182" xfId="0" applyNumberFormat="1" applyFont="1" applyFill="1" applyBorder="1" applyAlignment="1" applyProtection="1">
      <alignment horizontal="left" vertical="center"/>
    </xf>
    <xf numFmtId="2" fontId="11" fillId="29" borderId="193" xfId="0" applyNumberFormat="1" applyFont="1" applyFill="1" applyBorder="1" applyAlignment="1" applyProtection="1">
      <alignment horizontal="left" vertical="center"/>
    </xf>
    <xf numFmtId="238" fontId="64" fillId="19" borderId="213" xfId="0" applyNumberFormat="1" applyFont="1" applyFill="1" applyBorder="1" applyAlignment="1" applyProtection="1">
      <alignment horizontal="right" vertical="center" shrinkToFit="1"/>
    </xf>
    <xf numFmtId="238" fontId="64" fillId="19" borderId="210" xfId="0" applyNumberFormat="1" applyFont="1" applyFill="1" applyBorder="1" applyAlignment="1" applyProtection="1">
      <alignment horizontal="right" vertical="center" shrinkToFit="1"/>
    </xf>
    <xf numFmtId="238" fontId="64" fillId="19" borderId="214" xfId="0" applyNumberFormat="1" applyFont="1" applyFill="1" applyBorder="1" applyAlignment="1" applyProtection="1">
      <alignment horizontal="right" vertical="center" shrinkToFit="1"/>
    </xf>
    <xf numFmtId="238" fontId="64" fillId="19" borderId="193" xfId="0" applyNumberFormat="1" applyFont="1" applyFill="1" applyBorder="1" applyAlignment="1" applyProtection="1">
      <alignment horizontal="right" vertical="center" shrinkToFit="1"/>
    </xf>
    <xf numFmtId="238" fontId="64" fillId="19" borderId="0" xfId="0" applyNumberFormat="1" applyFont="1" applyFill="1" applyBorder="1" applyAlignment="1" applyProtection="1">
      <alignment horizontal="right" vertical="center" shrinkToFit="1"/>
    </xf>
    <xf numFmtId="238" fontId="64" fillId="19" borderId="194" xfId="0" applyNumberFormat="1" applyFont="1" applyFill="1" applyBorder="1" applyAlignment="1" applyProtection="1">
      <alignment horizontal="right" vertical="center" shrinkToFit="1"/>
    </xf>
    <xf numFmtId="238" fontId="64" fillId="19" borderId="211" xfId="0" applyNumberFormat="1" applyFont="1" applyFill="1" applyBorder="1" applyAlignment="1" applyProtection="1">
      <alignment horizontal="right" vertical="center" shrinkToFit="1"/>
    </xf>
    <xf numFmtId="238" fontId="64" fillId="19" borderId="212" xfId="0" applyNumberFormat="1" applyFont="1" applyFill="1" applyBorder="1" applyAlignment="1" applyProtection="1">
      <alignment horizontal="right" vertical="center" shrinkToFit="1"/>
    </xf>
    <xf numFmtId="238" fontId="64" fillId="19" borderId="215" xfId="0" applyNumberFormat="1" applyFont="1" applyFill="1" applyBorder="1" applyAlignment="1" applyProtection="1">
      <alignment horizontal="right" vertical="center" shrinkToFit="1"/>
    </xf>
    <xf numFmtId="0" fontId="5" fillId="29" borderId="0" xfId="0" applyFont="1" applyFill="1" applyBorder="1" applyAlignment="1" applyProtection="1">
      <alignment horizontal="center" vertical="center" shrinkToFit="1"/>
    </xf>
    <xf numFmtId="0" fontId="5" fillId="19" borderId="213" xfId="0" applyFont="1" applyFill="1" applyBorder="1" applyAlignment="1" applyProtection="1">
      <alignment horizontal="left" vertical="center" wrapText="1" indent="1" shrinkToFit="1"/>
    </xf>
    <xf numFmtId="0" fontId="5" fillId="19" borderId="210" xfId="0" applyFont="1" applyFill="1" applyBorder="1" applyAlignment="1" applyProtection="1">
      <alignment horizontal="left" vertical="center" wrapText="1" indent="1" shrinkToFit="1"/>
    </xf>
    <xf numFmtId="0" fontId="5" fillId="19" borderId="214" xfId="0" applyFont="1" applyFill="1" applyBorder="1" applyAlignment="1" applyProtection="1">
      <alignment horizontal="left" vertical="center" wrapText="1" indent="1" shrinkToFit="1"/>
    </xf>
    <xf numFmtId="0" fontId="5" fillId="19" borderId="193" xfId="0" applyFont="1" applyFill="1" applyBorder="1" applyAlignment="1" applyProtection="1">
      <alignment horizontal="left" vertical="center" wrapText="1" indent="1" shrinkToFit="1"/>
    </xf>
    <xf numFmtId="0" fontId="5" fillId="19" borderId="0" xfId="0" applyFont="1" applyFill="1" applyBorder="1" applyAlignment="1" applyProtection="1">
      <alignment horizontal="left" vertical="center" wrapText="1" indent="1" shrinkToFit="1"/>
    </xf>
    <xf numFmtId="0" fontId="5" fillId="19" borderId="194" xfId="0" applyFont="1" applyFill="1" applyBorder="1" applyAlignment="1" applyProtection="1">
      <alignment horizontal="left" vertical="center" wrapText="1" indent="1" shrinkToFit="1"/>
    </xf>
    <xf numFmtId="0" fontId="5" fillId="19" borderId="211" xfId="0" applyFont="1" applyFill="1" applyBorder="1" applyAlignment="1" applyProtection="1">
      <alignment horizontal="left" vertical="center" wrapText="1" indent="1" shrinkToFit="1"/>
    </xf>
    <xf numFmtId="0" fontId="5" fillId="19" borderId="212" xfId="0" applyFont="1" applyFill="1" applyBorder="1" applyAlignment="1" applyProtection="1">
      <alignment horizontal="left" vertical="center" wrapText="1" indent="1" shrinkToFit="1"/>
    </xf>
    <xf numFmtId="0" fontId="5" fillId="19" borderId="215" xfId="0" applyFont="1" applyFill="1" applyBorder="1" applyAlignment="1" applyProtection="1">
      <alignment horizontal="left" vertical="center" wrapText="1" indent="1" shrinkToFit="1"/>
    </xf>
    <xf numFmtId="217" fontId="6" fillId="56" borderId="179" xfId="0" applyNumberFormat="1" applyFont="1" applyFill="1" applyBorder="1" applyAlignment="1" applyProtection="1">
      <alignment horizontal="right" vertical="center"/>
    </xf>
    <xf numFmtId="218" fontId="6" fillId="19" borderId="193" xfId="0" applyNumberFormat="1" applyFont="1" applyFill="1" applyBorder="1" applyAlignment="1" applyProtection="1">
      <alignment horizontal="right" vertical="center" shrinkToFit="1"/>
    </xf>
    <xf numFmtId="218" fontId="6" fillId="19" borderId="0" xfId="0" applyNumberFormat="1" applyFont="1" applyFill="1" applyBorder="1" applyAlignment="1" applyProtection="1">
      <alignment horizontal="right" vertical="center" shrinkToFit="1"/>
    </xf>
    <xf numFmtId="218" fontId="6" fillId="19" borderId="194" xfId="0" applyNumberFormat="1" applyFont="1" applyFill="1" applyBorder="1" applyAlignment="1" applyProtection="1">
      <alignment horizontal="right" vertical="center" shrinkToFit="1"/>
    </xf>
    <xf numFmtId="218" fontId="6" fillId="19" borderId="211" xfId="0" applyNumberFormat="1" applyFont="1" applyFill="1" applyBorder="1" applyAlignment="1" applyProtection="1">
      <alignment horizontal="right" vertical="center" shrinkToFit="1"/>
    </xf>
    <xf numFmtId="218" fontId="6" fillId="19" borderId="212" xfId="0" applyNumberFormat="1" applyFont="1" applyFill="1" applyBorder="1" applyAlignment="1" applyProtection="1">
      <alignment horizontal="right" vertical="center" shrinkToFit="1"/>
    </xf>
    <xf numFmtId="218" fontId="6" fillId="19" borderId="215" xfId="0" applyNumberFormat="1" applyFont="1" applyFill="1" applyBorder="1" applyAlignment="1" applyProtection="1">
      <alignment horizontal="right" vertical="center" shrinkToFit="1"/>
    </xf>
    <xf numFmtId="0" fontId="65" fillId="19" borderId="213" xfId="0" applyFont="1" applyFill="1" applyBorder="1" applyAlignment="1" applyProtection="1">
      <alignment horizontal="left" vertical="center" wrapText="1" indent="1"/>
    </xf>
    <xf numFmtId="0" fontId="65" fillId="19" borderId="210" xfId="0" applyFont="1" applyFill="1" applyBorder="1" applyAlignment="1" applyProtection="1">
      <alignment horizontal="left" vertical="center" wrapText="1" indent="1"/>
    </xf>
    <xf numFmtId="0" fontId="65" fillId="19" borderId="214" xfId="0" applyFont="1" applyFill="1" applyBorder="1" applyAlignment="1" applyProtection="1">
      <alignment horizontal="left" vertical="center" wrapText="1" indent="1"/>
    </xf>
    <xf numFmtId="0" fontId="65" fillId="19" borderId="193" xfId="0" applyFont="1" applyFill="1" applyBorder="1" applyAlignment="1" applyProtection="1">
      <alignment horizontal="left" vertical="center" wrapText="1" indent="1"/>
    </xf>
    <xf numFmtId="0" fontId="65" fillId="19" borderId="0" xfId="0" applyFont="1" applyFill="1" applyBorder="1" applyAlignment="1" applyProtection="1">
      <alignment horizontal="left" vertical="center" wrapText="1" indent="1"/>
    </xf>
    <xf numFmtId="0" fontId="65" fillId="19" borderId="194" xfId="0" applyFont="1" applyFill="1" applyBorder="1" applyAlignment="1" applyProtection="1">
      <alignment horizontal="left" vertical="center" wrapText="1" indent="1"/>
    </xf>
    <xf numFmtId="0" fontId="65" fillId="19" borderId="211" xfId="0" applyFont="1" applyFill="1" applyBorder="1" applyAlignment="1" applyProtection="1">
      <alignment horizontal="left" vertical="center" wrapText="1" indent="1"/>
    </xf>
    <xf numFmtId="0" fontId="65" fillId="19" borderId="212" xfId="0" applyFont="1" applyFill="1" applyBorder="1" applyAlignment="1" applyProtection="1">
      <alignment horizontal="left" vertical="center" wrapText="1" indent="1"/>
    </xf>
    <xf numFmtId="0" fontId="65" fillId="19" borderId="215" xfId="0" applyFont="1" applyFill="1" applyBorder="1" applyAlignment="1" applyProtection="1">
      <alignment horizontal="left" vertical="center" wrapText="1" indent="1"/>
    </xf>
    <xf numFmtId="2" fontId="6" fillId="29" borderId="0" xfId="0" quotePrefix="1" applyNumberFormat="1" applyFont="1" applyFill="1" applyBorder="1" applyAlignment="1" applyProtection="1">
      <alignment horizontal="left" vertical="center"/>
    </xf>
    <xf numFmtId="2" fontId="6" fillId="29" borderId="179" xfId="0" applyNumberFormat="1" applyFont="1" applyFill="1" applyBorder="1" applyAlignment="1" applyProtection="1">
      <alignment horizontal="left" vertical="center"/>
    </xf>
    <xf numFmtId="2" fontId="13" fillId="29" borderId="213" xfId="0" applyNumberFormat="1" applyFont="1" applyFill="1" applyBorder="1" applyAlignment="1" applyProtection="1">
      <alignment horizontal="left" vertical="center"/>
    </xf>
    <xf numFmtId="2" fontId="13" fillId="29" borderId="210" xfId="0" applyNumberFormat="1" applyFont="1" applyFill="1" applyBorder="1" applyAlignment="1" applyProtection="1">
      <alignment horizontal="left" vertical="center"/>
    </xf>
    <xf numFmtId="2" fontId="13" fillId="29" borderId="193" xfId="0" applyNumberFormat="1" applyFont="1" applyFill="1" applyBorder="1" applyAlignment="1" applyProtection="1">
      <alignment horizontal="left" vertical="center"/>
    </xf>
    <xf numFmtId="2" fontId="13" fillId="29" borderId="0" xfId="0" applyNumberFormat="1" applyFont="1" applyFill="1" applyBorder="1" applyAlignment="1" applyProtection="1">
      <alignment horizontal="left" vertical="center"/>
    </xf>
    <xf numFmtId="2" fontId="13" fillId="29" borderId="280" xfId="0" applyNumberFormat="1" applyFont="1" applyFill="1" applyBorder="1" applyAlignment="1" applyProtection="1">
      <alignment horizontal="left" vertical="center"/>
    </xf>
    <xf numFmtId="2" fontId="13" fillId="29" borderId="179" xfId="0" applyNumberFormat="1" applyFont="1" applyFill="1" applyBorder="1" applyAlignment="1" applyProtection="1">
      <alignment horizontal="left" vertical="center"/>
    </xf>
    <xf numFmtId="0" fontId="5" fillId="29" borderId="179" xfId="0" applyFont="1" applyFill="1" applyBorder="1" applyAlignment="1" applyProtection="1">
      <alignment horizontal="center" vertical="center" shrinkToFit="1"/>
    </xf>
    <xf numFmtId="0" fontId="5" fillId="26" borderId="0" xfId="2" applyFont="1" applyFill="1" applyBorder="1" applyAlignment="1" applyProtection="1">
      <alignment horizontal="center" vertical="center"/>
    </xf>
    <xf numFmtId="0" fontId="5" fillId="26" borderId="179" xfId="2" applyFont="1" applyFill="1" applyBorder="1" applyAlignment="1" applyProtection="1">
      <alignment horizontal="center" vertical="center"/>
    </xf>
    <xf numFmtId="184" fontId="15" fillId="22" borderId="0" xfId="0" applyNumberFormat="1" applyFont="1" applyFill="1" applyBorder="1" applyAlignment="1" applyProtection="1">
      <alignment horizontal="left" vertical="center" shrinkToFit="1"/>
    </xf>
    <xf numFmtId="176" fontId="15" fillId="22" borderId="0" xfId="0" applyNumberFormat="1" applyFont="1" applyFill="1" applyBorder="1" applyAlignment="1" applyProtection="1">
      <alignment horizontal="right" vertical="center" shrinkToFit="1"/>
    </xf>
    <xf numFmtId="168" fontId="13" fillId="22" borderId="0" xfId="0" applyNumberFormat="1" applyFont="1" applyFill="1" applyBorder="1" applyAlignment="1" applyProtection="1">
      <alignment horizontal="right" vertical="center" indent="1" shrinkToFit="1"/>
    </xf>
    <xf numFmtId="168" fontId="13" fillId="22" borderId="184" xfId="0" applyNumberFormat="1" applyFont="1" applyFill="1" applyBorder="1" applyAlignment="1" applyProtection="1">
      <alignment horizontal="right" vertical="center" indent="1" shrinkToFit="1"/>
    </xf>
    <xf numFmtId="170" fontId="6" fillId="24" borderId="0" xfId="0" applyNumberFormat="1" applyFont="1" applyFill="1" applyBorder="1" applyAlignment="1" applyProtection="1">
      <alignment horizontal="right" vertical="center" indent="1" shrinkToFit="1"/>
    </xf>
    <xf numFmtId="170" fontId="6" fillId="24" borderId="184" xfId="0" applyNumberFormat="1" applyFont="1" applyFill="1" applyBorder="1" applyAlignment="1" applyProtection="1">
      <alignment horizontal="right" vertical="center" indent="1" shrinkToFit="1"/>
    </xf>
    <xf numFmtId="219" fontId="6" fillId="24" borderId="0" xfId="0" applyNumberFormat="1" applyFont="1" applyFill="1" applyBorder="1" applyAlignment="1" applyProtection="1">
      <alignment horizontal="right" vertical="center" indent="1" shrinkToFit="1"/>
    </xf>
    <xf numFmtId="219" fontId="6" fillId="24" borderId="184" xfId="0" applyNumberFormat="1" applyFont="1" applyFill="1" applyBorder="1" applyAlignment="1" applyProtection="1">
      <alignment horizontal="right" vertical="center" indent="1" shrinkToFit="1"/>
    </xf>
    <xf numFmtId="204" fontId="15" fillId="22" borderId="0" xfId="0" applyNumberFormat="1" applyFont="1" applyFill="1" applyBorder="1" applyAlignment="1" applyProtection="1">
      <alignment horizontal="center" vertical="center" shrinkToFit="1"/>
    </xf>
    <xf numFmtId="204" fontId="3" fillId="22" borderId="0" xfId="0" applyNumberFormat="1" applyFont="1" applyFill="1" applyBorder="1" applyAlignment="1" applyProtection="1">
      <alignment horizontal="right" vertical="center" indent="1"/>
    </xf>
    <xf numFmtId="176" fontId="13" fillId="29" borderId="210" xfId="0" applyNumberFormat="1" applyFont="1" applyFill="1" applyBorder="1" applyAlignment="1" applyProtection="1">
      <alignment horizontal="right" vertical="center" shrinkToFit="1"/>
    </xf>
    <xf numFmtId="176" fontId="13" fillId="29" borderId="214" xfId="0" applyNumberFormat="1" applyFont="1" applyFill="1" applyBorder="1" applyAlignment="1" applyProtection="1">
      <alignment horizontal="right" vertical="center" shrinkToFit="1"/>
    </xf>
    <xf numFmtId="168" fontId="47" fillId="22" borderId="0" xfId="0" applyNumberFormat="1" applyFont="1" applyFill="1" applyBorder="1" applyAlignment="1" applyProtection="1">
      <alignment horizontal="center" vertical="center" textRotation="90"/>
    </xf>
    <xf numFmtId="176" fontId="3" fillId="22" borderId="0" xfId="0" applyNumberFormat="1" applyFont="1" applyFill="1" applyBorder="1" applyAlignment="1" applyProtection="1">
      <alignment horizontal="right" vertical="center"/>
    </xf>
    <xf numFmtId="0" fontId="6" fillId="40" borderId="212" xfId="0" applyFont="1" applyFill="1" applyBorder="1" applyAlignment="1" applyProtection="1">
      <alignment horizontal="left" vertical="center"/>
    </xf>
    <xf numFmtId="0" fontId="87" fillId="40" borderId="0" xfId="0" applyFont="1" applyFill="1" applyBorder="1" applyAlignment="1" applyProtection="1">
      <alignment horizontal="center" vertical="center" wrapText="1"/>
    </xf>
    <xf numFmtId="0" fontId="87" fillId="40" borderId="212" xfId="0" applyFont="1" applyFill="1" applyBorder="1" applyAlignment="1" applyProtection="1">
      <alignment horizontal="center" vertical="center" wrapText="1"/>
    </xf>
    <xf numFmtId="0" fontId="5" fillId="24" borderId="0" xfId="0" applyFont="1" applyFill="1" applyBorder="1" applyAlignment="1" applyProtection="1">
      <alignment horizontal="center" vertical="center"/>
    </xf>
    <xf numFmtId="204" fontId="47" fillId="22" borderId="0" xfId="0" applyNumberFormat="1" applyFont="1" applyFill="1" applyBorder="1" applyAlignment="1" applyProtection="1">
      <alignment horizontal="center" vertical="center" textRotation="90" shrinkToFit="1"/>
    </xf>
    <xf numFmtId="184" fontId="15" fillId="22" borderId="0" xfId="0" applyNumberFormat="1" applyFont="1" applyFill="1" applyBorder="1" applyAlignment="1" applyProtection="1">
      <alignment horizontal="left" vertical="center" indent="1" shrinkToFit="1"/>
    </xf>
    <xf numFmtId="168" fontId="11" fillId="22" borderId="0" xfId="0" applyNumberFormat="1" applyFont="1" applyFill="1" applyBorder="1" applyAlignment="1" applyProtection="1">
      <alignment horizontal="right" vertical="center" indent="1" shrinkToFit="1"/>
    </xf>
    <xf numFmtId="168" fontId="11" fillId="22" borderId="184" xfId="0" applyNumberFormat="1" applyFont="1" applyFill="1" applyBorder="1" applyAlignment="1" applyProtection="1">
      <alignment horizontal="right" vertical="center" indent="1" shrinkToFit="1"/>
    </xf>
    <xf numFmtId="176" fontId="11" fillId="29" borderId="182" xfId="0" applyNumberFormat="1" applyFont="1" applyFill="1" applyBorder="1" applyAlignment="1" applyProtection="1">
      <alignment horizontal="right" vertical="center" shrinkToFit="1"/>
    </xf>
    <xf numFmtId="176" fontId="11" fillId="29" borderId="281" xfId="0" applyNumberFormat="1" applyFont="1" applyFill="1" applyBorder="1" applyAlignment="1" applyProtection="1">
      <alignment horizontal="right" vertical="center" shrinkToFit="1"/>
    </xf>
    <xf numFmtId="176" fontId="11" fillId="29" borderId="0" xfId="0" applyNumberFormat="1" applyFont="1" applyFill="1" applyBorder="1" applyAlignment="1" applyProtection="1">
      <alignment horizontal="right" vertical="center" shrinkToFit="1"/>
    </xf>
    <xf numFmtId="176" fontId="11" fillId="29" borderId="194" xfId="0" applyNumberFormat="1" applyFont="1" applyFill="1" applyBorder="1" applyAlignment="1" applyProtection="1">
      <alignment horizontal="right" vertical="center" shrinkToFit="1"/>
    </xf>
    <xf numFmtId="176" fontId="11" fillId="29" borderId="212" xfId="0" applyNumberFormat="1" applyFont="1" applyFill="1" applyBorder="1" applyAlignment="1" applyProtection="1">
      <alignment horizontal="right" vertical="center" shrinkToFit="1"/>
    </xf>
    <xf numFmtId="176" fontId="11" fillId="29" borderId="215" xfId="0" applyNumberFormat="1" applyFont="1" applyFill="1" applyBorder="1" applyAlignment="1" applyProtection="1">
      <alignment horizontal="right" vertical="center" shrinkToFit="1"/>
    </xf>
    <xf numFmtId="168" fontId="47" fillId="22" borderId="0" xfId="0" applyNumberFormat="1" applyFont="1" applyFill="1" applyBorder="1" applyAlignment="1" applyProtection="1">
      <alignment horizontal="center" vertical="center" textRotation="90" shrinkToFit="1"/>
    </xf>
    <xf numFmtId="182" fontId="15" fillId="22" borderId="213" xfId="0" applyNumberFormat="1" applyFont="1" applyFill="1" applyBorder="1" applyAlignment="1" applyProtection="1">
      <alignment horizontal="left" vertical="center" wrapText="1" shrinkToFit="1"/>
    </xf>
    <xf numFmtId="182" fontId="15" fillId="22" borderId="210" xfId="0" applyNumberFormat="1" applyFont="1" applyFill="1" applyBorder="1" applyAlignment="1" applyProtection="1">
      <alignment horizontal="left" vertical="center" wrapText="1" shrinkToFit="1"/>
    </xf>
    <xf numFmtId="182" fontId="15" fillId="22" borderId="214" xfId="0" applyNumberFormat="1" applyFont="1" applyFill="1" applyBorder="1" applyAlignment="1" applyProtection="1">
      <alignment horizontal="left" vertical="center" wrapText="1" shrinkToFit="1"/>
    </xf>
    <xf numFmtId="182" fontId="15" fillId="22" borderId="193" xfId="0" applyNumberFormat="1" applyFont="1" applyFill="1" applyBorder="1" applyAlignment="1" applyProtection="1">
      <alignment horizontal="left" vertical="center" wrapText="1" shrinkToFit="1"/>
    </xf>
    <xf numFmtId="182" fontId="15" fillId="22" borderId="0" xfId="0" applyNumberFormat="1" applyFont="1" applyFill="1" applyBorder="1" applyAlignment="1" applyProtection="1">
      <alignment horizontal="left" vertical="center" wrapText="1" shrinkToFit="1"/>
    </xf>
    <xf numFmtId="182" fontId="15" fillId="22" borderId="194" xfId="0" applyNumberFormat="1" applyFont="1" applyFill="1" applyBorder="1" applyAlignment="1" applyProtection="1">
      <alignment horizontal="left" vertical="center" wrapText="1" shrinkToFit="1"/>
    </xf>
    <xf numFmtId="182" fontId="15" fillId="22" borderId="211" xfId="0" applyNumberFormat="1" applyFont="1" applyFill="1" applyBorder="1" applyAlignment="1" applyProtection="1">
      <alignment horizontal="left" vertical="center" wrapText="1" shrinkToFit="1"/>
    </xf>
    <xf numFmtId="182" fontId="15" fillId="22" borderId="212" xfId="0" applyNumberFormat="1" applyFont="1" applyFill="1" applyBorder="1" applyAlignment="1" applyProtection="1">
      <alignment horizontal="left" vertical="center" wrapText="1" shrinkToFit="1"/>
    </xf>
    <xf numFmtId="182" fontId="15" fillId="22" borderId="215" xfId="0" applyNumberFormat="1" applyFont="1" applyFill="1" applyBorder="1" applyAlignment="1" applyProtection="1">
      <alignment horizontal="left" vertical="center" wrapText="1" shrinkToFit="1"/>
    </xf>
    <xf numFmtId="199" fontId="117" fillId="55" borderId="0" xfId="0" applyNumberFormat="1" applyFont="1" applyFill="1" applyBorder="1" applyAlignment="1" applyProtection="1">
      <alignment horizontal="right" vertical="center" shrinkToFit="1"/>
    </xf>
    <xf numFmtId="0" fontId="42" fillId="20" borderId="246" xfId="3" applyFont="1" applyFill="1" applyBorder="1" applyAlignment="1" applyProtection="1">
      <alignment horizontal="center" vertical="center" wrapText="1"/>
    </xf>
    <xf numFmtId="168" fontId="15" fillId="22" borderId="0" xfId="0" applyNumberFormat="1" applyFont="1" applyFill="1" applyBorder="1" applyAlignment="1" applyProtection="1">
      <alignment horizontal="center" vertical="center"/>
    </xf>
    <xf numFmtId="2" fontId="11" fillId="45" borderId="0" xfId="0" quotePrefix="1" applyNumberFormat="1" applyFont="1" applyFill="1" applyBorder="1" applyAlignment="1" applyProtection="1">
      <alignment horizontal="center" vertical="center"/>
    </xf>
    <xf numFmtId="0" fontId="49" fillId="19" borderId="0" xfId="2" applyFont="1" applyFill="1" applyBorder="1" applyAlignment="1" applyProtection="1">
      <alignment horizontal="left" vertical="center" indent="1"/>
    </xf>
    <xf numFmtId="0" fontId="49" fillId="19" borderId="179" xfId="2" applyFont="1" applyFill="1" applyBorder="1" applyAlignment="1" applyProtection="1">
      <alignment horizontal="left" vertical="center" indent="1"/>
    </xf>
    <xf numFmtId="220" fontId="11" fillId="22" borderId="0" xfId="0" applyNumberFormat="1" applyFont="1" applyFill="1" applyBorder="1" applyAlignment="1" applyProtection="1">
      <alignment horizontal="right" vertical="center" shrinkToFit="1"/>
    </xf>
    <xf numFmtId="221" fontId="5" fillId="22" borderId="0" xfId="0" applyNumberFormat="1" applyFont="1" applyFill="1" applyBorder="1" applyAlignment="1" applyProtection="1">
      <alignment horizontal="right" vertical="center" indent="1" shrinkToFit="1"/>
    </xf>
    <xf numFmtId="221" fontId="11" fillId="22" borderId="0" xfId="0" applyNumberFormat="1" applyFont="1" applyFill="1" applyBorder="1" applyAlignment="1" applyProtection="1">
      <alignment horizontal="right" vertical="center" indent="1" shrinkToFit="1"/>
    </xf>
    <xf numFmtId="0" fontId="3" fillId="19" borderId="0" xfId="2" applyFont="1" applyFill="1" applyBorder="1" applyAlignment="1" applyProtection="1">
      <alignment horizontal="right" vertical="center" wrapText="1" indent="1"/>
    </xf>
    <xf numFmtId="0" fontId="3" fillId="19" borderId="179" xfId="2" applyFont="1" applyFill="1" applyBorder="1" applyAlignment="1" applyProtection="1">
      <alignment horizontal="right" vertical="center" wrapText="1" indent="1"/>
    </xf>
    <xf numFmtId="185" fontId="5" fillId="19" borderId="14" xfId="0" applyNumberFormat="1" applyFont="1" applyFill="1" applyBorder="1" applyAlignment="1" applyProtection="1">
      <alignment horizontal="center" vertical="center" shrinkToFit="1"/>
    </xf>
    <xf numFmtId="185" fontId="5" fillId="19" borderId="58" xfId="0" applyNumberFormat="1" applyFont="1" applyFill="1" applyBorder="1" applyAlignment="1" applyProtection="1">
      <alignment horizontal="center" vertical="center" shrinkToFit="1"/>
    </xf>
    <xf numFmtId="185" fontId="5" fillId="19" borderId="12" xfId="0" applyNumberFormat="1" applyFont="1" applyFill="1" applyBorder="1" applyAlignment="1" applyProtection="1">
      <alignment horizontal="center" vertical="center" shrinkToFit="1"/>
    </xf>
    <xf numFmtId="185" fontId="5" fillId="19" borderId="224" xfId="0" applyNumberFormat="1" applyFont="1" applyFill="1" applyBorder="1" applyAlignment="1" applyProtection="1">
      <alignment horizontal="center" vertical="center" shrinkToFit="1"/>
    </xf>
    <xf numFmtId="185" fontId="5" fillId="19" borderId="284" xfId="0" applyNumberFormat="1" applyFont="1" applyFill="1" applyBorder="1" applyAlignment="1" applyProtection="1">
      <alignment horizontal="center" vertical="center" shrinkToFit="1"/>
    </xf>
    <xf numFmtId="185" fontId="5" fillId="19" borderId="227" xfId="0" applyNumberFormat="1" applyFont="1" applyFill="1" applyBorder="1" applyAlignment="1" applyProtection="1">
      <alignment horizontal="center" vertical="center" shrinkToFit="1"/>
    </xf>
    <xf numFmtId="185" fontId="5" fillId="3" borderId="30" xfId="0" applyNumberFormat="1" applyFont="1" applyFill="1" applyBorder="1" applyAlignment="1" applyProtection="1">
      <alignment horizontal="center" vertical="center" shrinkToFit="1"/>
    </xf>
    <xf numFmtId="185" fontId="5" fillId="3" borderId="31" xfId="0" applyNumberFormat="1" applyFont="1" applyFill="1" applyBorder="1" applyAlignment="1" applyProtection="1">
      <alignment horizontal="center" vertical="center" shrinkToFit="1"/>
    </xf>
    <xf numFmtId="185" fontId="5" fillId="3" borderId="32" xfId="0" applyNumberFormat="1" applyFont="1" applyFill="1" applyBorder="1" applyAlignment="1" applyProtection="1">
      <alignment horizontal="center" vertical="center" shrinkToFit="1"/>
    </xf>
    <xf numFmtId="174" fontId="5" fillId="3" borderId="9" xfId="0" applyNumberFormat="1" applyFont="1" applyFill="1" applyBorder="1" applyAlignment="1" applyProtection="1">
      <alignment horizontal="center" vertical="center" shrinkToFit="1"/>
    </xf>
    <xf numFmtId="174" fontId="5" fillId="3" borderId="10" xfId="0" applyNumberFormat="1" applyFont="1" applyFill="1" applyBorder="1" applyAlignment="1" applyProtection="1">
      <alignment horizontal="center" vertical="center" shrinkToFit="1"/>
    </xf>
    <xf numFmtId="185" fontId="5" fillId="3" borderId="141" xfId="0" applyNumberFormat="1" applyFont="1" applyFill="1" applyBorder="1" applyAlignment="1" applyProtection="1">
      <alignment horizontal="center" vertical="center" shrinkToFit="1"/>
    </xf>
    <xf numFmtId="185" fontId="5" fillId="3" borderId="142" xfId="0" applyNumberFormat="1" applyFont="1" applyFill="1" applyBorder="1" applyAlignment="1" applyProtection="1">
      <alignment horizontal="center" vertical="center" shrinkToFit="1"/>
    </xf>
    <xf numFmtId="185" fontId="5" fillId="3" borderId="143" xfId="0" applyNumberFormat="1" applyFont="1" applyFill="1" applyBorder="1" applyAlignment="1" applyProtection="1">
      <alignment horizontal="center" vertical="center" shrinkToFit="1"/>
    </xf>
    <xf numFmtId="0" fontId="4" fillId="3" borderId="44"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40" xfId="0" applyFont="1" applyFill="1" applyBorder="1" applyAlignment="1" applyProtection="1">
      <alignment horizontal="center" vertical="center" wrapText="1"/>
    </xf>
    <xf numFmtId="0" fontId="4" fillId="3" borderId="44" xfId="0" applyFont="1" applyFill="1" applyBorder="1" applyAlignment="1" applyProtection="1">
      <alignment horizontal="center" vertical="center"/>
    </xf>
    <xf numFmtId="0" fontId="4" fillId="3" borderId="39" xfId="0" applyFont="1" applyFill="1" applyBorder="1" applyAlignment="1" applyProtection="1">
      <alignment horizontal="center" vertical="center"/>
    </xf>
    <xf numFmtId="0" fontId="4" fillId="3" borderId="40" xfId="0" applyFont="1" applyFill="1" applyBorder="1" applyAlignment="1" applyProtection="1">
      <alignment horizontal="center" vertical="center"/>
    </xf>
    <xf numFmtId="0" fontId="4" fillId="3" borderId="8" xfId="0" applyFont="1" applyFill="1" applyBorder="1" applyAlignment="1" applyProtection="1">
      <alignment horizontal="center" vertical="center" wrapText="1"/>
    </xf>
    <xf numFmtId="0" fontId="4" fillId="3" borderId="10" xfId="0" applyFont="1" applyFill="1" applyBorder="1" applyAlignment="1" applyProtection="1">
      <alignment horizontal="center" vertical="center" wrapText="1"/>
    </xf>
    <xf numFmtId="172" fontId="5" fillId="3" borderId="8" xfId="0" applyNumberFormat="1" applyFont="1" applyFill="1" applyBorder="1" applyAlignment="1" applyProtection="1">
      <alignment horizontal="right" vertical="center"/>
    </xf>
    <xf numFmtId="172" fontId="5" fillId="3" borderId="11" xfId="0" applyNumberFormat="1" applyFont="1" applyFill="1" applyBorder="1" applyAlignment="1" applyProtection="1">
      <alignment horizontal="right" vertical="center"/>
    </xf>
    <xf numFmtId="173" fontId="5" fillId="3" borderId="20" xfId="0" applyNumberFormat="1" applyFont="1" applyFill="1" applyBorder="1" applyAlignment="1" applyProtection="1">
      <alignment horizontal="center" vertical="center" shrinkToFit="1"/>
    </xf>
    <xf numFmtId="173" fontId="5" fillId="3" borderId="11" xfId="0" applyNumberFormat="1" applyFont="1" applyFill="1" applyBorder="1" applyAlignment="1" applyProtection="1">
      <alignment horizontal="center" vertical="center" shrinkToFit="1"/>
    </xf>
    <xf numFmtId="0" fontId="4" fillId="3" borderId="14" xfId="0" applyFont="1" applyFill="1" applyBorder="1" applyAlignment="1" applyProtection="1">
      <alignment horizontal="center" vertical="center" wrapText="1"/>
    </xf>
    <xf numFmtId="0" fontId="4" fillId="3" borderId="58"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13" fillId="59" borderId="33" xfId="0" applyFont="1" applyFill="1" applyBorder="1" applyAlignment="1">
      <alignment horizontal="center" shrinkToFit="1"/>
    </xf>
    <xf numFmtId="0" fontId="13" fillId="59" borderId="34" xfId="0" applyFont="1" applyFill="1" applyBorder="1" applyAlignment="1">
      <alignment horizontal="center" shrinkToFit="1"/>
    </xf>
    <xf numFmtId="0" fontId="13" fillId="19" borderId="33" xfId="0" applyFont="1" applyFill="1" applyBorder="1" applyAlignment="1">
      <alignment horizontal="center" shrinkToFit="1"/>
    </xf>
    <xf numFmtId="0" fontId="13" fillId="19" borderId="34" xfId="0" applyFont="1" applyFill="1" applyBorder="1" applyAlignment="1">
      <alignment horizontal="center" shrinkToFit="1"/>
    </xf>
    <xf numFmtId="225" fontId="89" fillId="3" borderId="20" xfId="0" applyNumberFormat="1" applyFont="1" applyFill="1" applyBorder="1" applyAlignment="1" applyProtection="1">
      <alignment horizontal="center" vertical="center" shrinkToFit="1"/>
    </xf>
    <xf numFmtId="225" fontId="89" fillId="3" borderId="9" xfId="0" applyNumberFormat="1" applyFont="1" applyFill="1" applyBorder="1" applyAlignment="1" applyProtection="1">
      <alignment horizontal="center" vertical="center" shrinkToFit="1"/>
    </xf>
    <xf numFmtId="225" fontId="89" fillId="3" borderId="11" xfId="0" applyNumberFormat="1" applyFont="1" applyFill="1" applyBorder="1" applyAlignment="1" applyProtection="1">
      <alignment horizontal="center" vertical="center" shrinkToFit="1"/>
    </xf>
    <xf numFmtId="225" fontId="89" fillId="3" borderId="20" xfId="0" quotePrefix="1" applyNumberFormat="1" applyFont="1" applyFill="1" applyBorder="1" applyAlignment="1" applyProtection="1">
      <alignment horizontal="center" vertical="center" shrinkToFit="1"/>
    </xf>
    <xf numFmtId="225" fontId="89" fillId="3" borderId="9" xfId="0" quotePrefix="1" applyNumberFormat="1" applyFont="1" applyFill="1" applyBorder="1" applyAlignment="1" applyProtection="1">
      <alignment horizontal="center" vertical="center" shrinkToFit="1"/>
    </xf>
    <xf numFmtId="225" fontId="89" fillId="3" borderId="11" xfId="0" quotePrefix="1" applyNumberFormat="1" applyFont="1" applyFill="1" applyBorder="1" applyAlignment="1" applyProtection="1">
      <alignment horizontal="center" vertical="center" shrinkToFit="1"/>
    </xf>
    <xf numFmtId="225" fontId="5" fillId="3" borderId="20" xfId="0" quotePrefix="1" applyNumberFormat="1" applyFont="1" applyFill="1" applyBorder="1" applyAlignment="1" applyProtection="1">
      <alignment horizontal="center" vertical="center" shrinkToFit="1"/>
    </xf>
    <xf numFmtId="225" fontId="0" fillId="3" borderId="9" xfId="0" applyNumberFormat="1" applyFill="1" applyBorder="1" applyAlignment="1" applyProtection="1">
      <alignment horizontal="center" vertical="center" shrinkToFit="1"/>
    </xf>
    <xf numFmtId="225" fontId="0" fillId="3" borderId="11" xfId="0" applyNumberFormat="1" applyFill="1" applyBorder="1" applyAlignment="1" applyProtection="1">
      <alignment horizontal="center" vertical="center" shrinkToFit="1"/>
    </xf>
    <xf numFmtId="225" fontId="5" fillId="3" borderId="9" xfId="0" quotePrefix="1" applyNumberFormat="1" applyFont="1" applyFill="1" applyBorder="1" applyAlignment="1" applyProtection="1">
      <alignment horizontal="center" vertical="center" shrinkToFit="1"/>
    </xf>
    <xf numFmtId="225" fontId="5" fillId="3" borderId="11" xfId="0" quotePrefix="1" applyNumberFormat="1" applyFont="1" applyFill="1" applyBorder="1" applyAlignment="1" applyProtection="1">
      <alignment horizontal="center" vertical="center" shrinkToFit="1"/>
    </xf>
    <xf numFmtId="225" fontId="39" fillId="3" borderId="33" xfId="0" applyNumberFormat="1" applyFont="1" applyFill="1" applyBorder="1" applyAlignment="1" applyProtection="1">
      <alignment horizontal="center" vertical="center" shrinkToFit="1"/>
    </xf>
    <xf numFmtId="225" fontId="39" fillId="3" borderId="0" xfId="0" applyNumberFormat="1" applyFont="1" applyFill="1" applyBorder="1" applyAlignment="1" applyProtection="1">
      <alignment horizontal="center" vertical="center" shrinkToFit="1"/>
    </xf>
    <xf numFmtId="225" fontId="39" fillId="3" borderId="34" xfId="0" applyNumberFormat="1" applyFont="1" applyFill="1" applyBorder="1" applyAlignment="1" applyProtection="1">
      <alignment horizontal="center" vertical="center" shrinkToFit="1"/>
    </xf>
    <xf numFmtId="225" fontId="0" fillId="3" borderId="33" xfId="0" applyNumberFormat="1" applyFill="1" applyBorder="1" applyAlignment="1" applyProtection="1">
      <alignment horizontal="center" vertical="center" shrinkToFit="1"/>
    </xf>
    <xf numFmtId="225" fontId="0" fillId="3" borderId="0" xfId="0" applyNumberFormat="1" applyFill="1" applyBorder="1" applyAlignment="1" applyProtection="1">
      <alignment horizontal="center" vertical="center" shrinkToFit="1"/>
    </xf>
    <xf numFmtId="225" fontId="0" fillId="3" borderId="34" xfId="0" applyNumberFormat="1" applyFill="1" applyBorder="1" applyAlignment="1" applyProtection="1">
      <alignment horizontal="center" vertical="center" shrinkToFit="1"/>
    </xf>
    <xf numFmtId="225" fontId="0" fillId="3" borderId="20" xfId="0" applyNumberFormat="1" applyFill="1" applyBorder="1" applyAlignment="1" applyProtection="1">
      <alignment horizontal="center" vertical="center" shrinkToFit="1"/>
    </xf>
    <xf numFmtId="225" fontId="114" fillId="3" borderId="33" xfId="0" applyNumberFormat="1" applyFont="1" applyFill="1" applyBorder="1" applyAlignment="1" applyProtection="1">
      <alignment horizontal="center" vertical="center" shrinkToFit="1"/>
    </xf>
    <xf numFmtId="225" fontId="114" fillId="3" borderId="0" xfId="0" applyNumberFormat="1" applyFont="1" applyFill="1" applyBorder="1" applyAlignment="1" applyProtection="1">
      <alignment horizontal="center" vertical="center" shrinkToFit="1"/>
    </xf>
    <xf numFmtId="225" fontId="114" fillId="3" borderId="34" xfId="0" applyNumberFormat="1" applyFont="1" applyFill="1" applyBorder="1" applyAlignment="1" applyProtection="1">
      <alignment horizontal="center" vertical="center" shrinkToFit="1"/>
    </xf>
    <xf numFmtId="225" fontId="114" fillId="3" borderId="20" xfId="0" applyNumberFormat="1" applyFont="1" applyFill="1" applyBorder="1" applyAlignment="1" applyProtection="1">
      <alignment horizontal="center" vertical="center" shrinkToFit="1"/>
    </xf>
    <xf numFmtId="225" fontId="114" fillId="3" borderId="9" xfId="0" applyNumberFormat="1" applyFont="1" applyFill="1" applyBorder="1" applyAlignment="1" applyProtection="1">
      <alignment horizontal="center" vertical="center" shrinkToFit="1"/>
    </xf>
    <xf numFmtId="225" fontId="114" fillId="3" borderId="11" xfId="0" applyNumberFormat="1" applyFont="1" applyFill="1" applyBorder="1" applyAlignment="1" applyProtection="1">
      <alignment horizontal="center" vertical="center" shrinkToFit="1"/>
    </xf>
    <xf numFmtId="0" fontId="11" fillId="3" borderId="63" xfId="0" applyFont="1" applyFill="1" applyBorder="1" applyAlignment="1" applyProtection="1">
      <alignment horizontal="center" vertical="center" shrinkToFit="1"/>
    </xf>
    <xf numFmtId="225" fontId="0" fillId="3" borderId="30" xfId="0" applyNumberFormat="1" applyFill="1" applyBorder="1" applyAlignment="1" applyProtection="1">
      <alignment horizontal="center" vertical="center" shrinkToFit="1"/>
    </xf>
    <xf numFmtId="225" fontId="0" fillId="3" borderId="31" xfId="0" applyNumberFormat="1" applyFill="1" applyBorder="1" applyAlignment="1" applyProtection="1">
      <alignment horizontal="center" vertical="center" shrinkToFit="1"/>
    </xf>
    <xf numFmtId="225" fontId="0" fillId="3" borderId="32" xfId="0" applyNumberFormat="1" applyFill="1" applyBorder="1" applyAlignment="1" applyProtection="1">
      <alignment horizontal="center" vertical="center" shrinkToFit="1"/>
    </xf>
    <xf numFmtId="0" fontId="11" fillId="3" borderId="14" xfId="0" applyFont="1" applyFill="1" applyBorder="1" applyAlignment="1" applyProtection="1">
      <alignment horizontal="center" vertical="center" shrinkToFit="1"/>
    </xf>
    <xf numFmtId="0" fontId="11" fillId="3" borderId="58" xfId="0" applyFont="1" applyFill="1" applyBorder="1" applyAlignment="1" applyProtection="1">
      <alignment horizontal="center" vertical="center" shrinkToFit="1"/>
    </xf>
    <xf numFmtId="0" fontId="11" fillId="3" borderId="12" xfId="0" applyFont="1" applyFill="1" applyBorder="1" applyAlignment="1" applyProtection="1">
      <alignment horizontal="center" vertical="center" shrinkToFit="1"/>
    </xf>
    <xf numFmtId="0" fontId="0" fillId="9" borderId="285" xfId="0" applyFill="1" applyBorder="1" applyAlignment="1" applyProtection="1">
      <alignment horizontal="center" shrinkToFit="1"/>
    </xf>
    <xf numFmtId="0" fontId="0" fillId="9" borderId="286" xfId="0" applyFill="1" applyBorder="1" applyAlignment="1" applyProtection="1">
      <alignment horizontal="center" shrinkToFit="1"/>
    </xf>
    <xf numFmtId="0" fontId="0" fillId="9" borderId="287" xfId="0" applyFill="1" applyBorder="1" applyAlignment="1" applyProtection="1">
      <alignment horizontal="center" shrinkToFit="1"/>
    </xf>
    <xf numFmtId="0" fontId="0" fillId="12" borderId="288" xfId="0" applyFill="1" applyBorder="1" applyAlignment="1" applyProtection="1">
      <alignment horizontal="center" shrinkToFit="1"/>
    </xf>
    <xf numFmtId="0" fontId="0" fillId="12" borderId="286" xfId="0" applyFill="1" applyBorder="1" applyAlignment="1" applyProtection="1">
      <alignment horizontal="center" shrinkToFit="1"/>
    </xf>
    <xf numFmtId="0" fontId="0" fillId="12" borderId="287" xfId="0" applyFill="1" applyBorder="1" applyAlignment="1" applyProtection="1">
      <alignment horizontal="center" shrinkToFit="1"/>
    </xf>
    <xf numFmtId="0" fontId="0" fillId="15" borderId="289" xfId="0" applyFill="1" applyBorder="1" applyAlignment="1" applyProtection="1">
      <alignment horizontal="center" shrinkToFit="1"/>
    </xf>
    <xf numFmtId="0" fontId="0" fillId="15" borderId="286" xfId="0" applyFill="1" applyBorder="1" applyAlignment="1" applyProtection="1">
      <alignment horizontal="center" shrinkToFit="1"/>
    </xf>
    <xf numFmtId="0" fontId="0" fillId="15" borderId="290" xfId="0" applyFill="1" applyBorder="1" applyAlignment="1" applyProtection="1">
      <alignment horizontal="center" shrinkToFit="1"/>
    </xf>
    <xf numFmtId="0" fontId="0" fillId="16" borderId="289" xfId="0" applyFill="1" applyBorder="1" applyAlignment="1" applyProtection="1">
      <alignment horizontal="center" shrinkToFit="1"/>
    </xf>
    <xf numFmtId="0" fontId="0" fillId="16" borderId="286" xfId="0" applyFill="1" applyBorder="1" applyAlignment="1" applyProtection="1">
      <alignment horizontal="center" shrinkToFit="1"/>
    </xf>
    <xf numFmtId="0" fontId="0" fillId="16" borderId="291" xfId="0" applyFill="1" applyBorder="1" applyAlignment="1" applyProtection="1">
      <alignment horizontal="center" shrinkToFit="1"/>
    </xf>
    <xf numFmtId="0" fontId="5" fillId="50" borderId="285" xfId="0" applyFont="1" applyFill="1" applyBorder="1" applyAlignment="1" applyProtection="1">
      <alignment horizontal="center" shrinkToFit="1"/>
    </xf>
    <xf numFmtId="0" fontId="5" fillId="50" borderId="286" xfId="0" applyFont="1" applyFill="1" applyBorder="1" applyAlignment="1" applyProtection="1">
      <alignment horizontal="center" shrinkToFit="1"/>
    </xf>
    <xf numFmtId="0" fontId="5" fillId="50" borderId="292" xfId="0" applyFont="1" applyFill="1" applyBorder="1" applyAlignment="1" applyProtection="1">
      <alignment horizontal="center" shrinkToFit="1"/>
    </xf>
    <xf numFmtId="0" fontId="3" fillId="4" borderId="144" xfId="0" applyFont="1" applyFill="1" applyBorder="1" applyAlignment="1" applyProtection="1">
      <alignment horizontal="center" shrinkToFit="1"/>
    </xf>
    <xf numFmtId="0" fontId="3" fillId="4" borderId="145" xfId="0" applyFont="1" applyFill="1" applyBorder="1" applyAlignment="1" applyProtection="1">
      <alignment horizontal="center" shrinkToFit="1"/>
    </xf>
    <xf numFmtId="0" fontId="0" fillId="3" borderId="39" xfId="0" applyFill="1" applyBorder="1" applyAlignment="1" applyProtection="1">
      <alignment horizontal="center" shrinkToFit="1"/>
    </xf>
    <xf numFmtId="0" fontId="0" fillId="3" borderId="40" xfId="0" applyFill="1" applyBorder="1" applyAlignment="1" applyProtection="1">
      <alignment horizontal="center" shrinkToFit="1"/>
    </xf>
    <xf numFmtId="0" fontId="0" fillId="9" borderId="44" xfId="0" applyFill="1" applyBorder="1" applyAlignment="1" applyProtection="1">
      <alignment horizontal="center" shrinkToFit="1"/>
    </xf>
    <xf numFmtId="0" fontId="0" fillId="9" borderId="39" xfId="0" applyFill="1" applyBorder="1" applyAlignment="1" applyProtection="1">
      <alignment horizontal="center" shrinkToFit="1"/>
    </xf>
    <xf numFmtId="0" fontId="0" fillId="9" borderId="40" xfId="0" applyFill="1" applyBorder="1" applyAlignment="1" applyProtection="1">
      <alignment horizontal="center" shrinkToFit="1"/>
    </xf>
    <xf numFmtId="0" fontId="0" fillId="12" borderId="44" xfId="0" applyFill="1" applyBorder="1" applyAlignment="1" applyProtection="1">
      <alignment horizontal="center" shrinkToFit="1"/>
    </xf>
    <xf numFmtId="0" fontId="0" fillId="12" borderId="39" xfId="0" applyFill="1" applyBorder="1" applyAlignment="1" applyProtection="1">
      <alignment horizontal="center" shrinkToFit="1"/>
    </xf>
    <xf numFmtId="0" fontId="0" fillId="12" borderId="40" xfId="0" applyFill="1" applyBorder="1" applyAlignment="1" applyProtection="1">
      <alignment horizontal="center" shrinkToFit="1"/>
    </xf>
    <xf numFmtId="0" fontId="0" fillId="15" borderId="146" xfId="0" applyFill="1" applyBorder="1" applyAlignment="1" applyProtection="1">
      <alignment horizontal="center" shrinkToFit="1"/>
    </xf>
    <xf numFmtId="0" fontId="0" fillId="15" borderId="39" xfId="0" applyFill="1" applyBorder="1" applyAlignment="1" applyProtection="1">
      <alignment horizontal="center" shrinkToFit="1"/>
    </xf>
    <xf numFmtId="0" fontId="0" fillId="15" borderId="147" xfId="0" applyFill="1" applyBorder="1" applyAlignment="1" applyProtection="1">
      <alignment horizontal="center" shrinkToFit="1"/>
    </xf>
    <xf numFmtId="0" fontId="0" fillId="16" borderId="146" xfId="0" applyFill="1" applyBorder="1" applyAlignment="1" applyProtection="1">
      <alignment horizontal="center" shrinkToFit="1"/>
    </xf>
    <xf numFmtId="0" fontId="0" fillId="16" borderId="39" xfId="0" applyFill="1" applyBorder="1" applyAlignment="1" applyProtection="1">
      <alignment horizontal="center" shrinkToFit="1"/>
    </xf>
    <xf numFmtId="0" fontId="0" fillId="16" borderId="147" xfId="0" applyFill="1" applyBorder="1" applyAlignment="1" applyProtection="1">
      <alignment horizontal="center" shrinkToFit="1"/>
    </xf>
    <xf numFmtId="0" fontId="0" fillId="17" borderId="293" xfId="0" applyFill="1" applyBorder="1" applyAlignment="1" applyProtection="1">
      <alignment horizontal="center" shrinkToFit="1"/>
    </xf>
    <xf numFmtId="0" fontId="0" fillId="17" borderId="294" xfId="0" applyFill="1" applyBorder="1" applyAlignment="1" applyProtection="1">
      <alignment horizontal="center" shrinkToFit="1"/>
    </xf>
    <xf numFmtId="0" fontId="0" fillId="17" borderId="295" xfId="0" applyFill="1" applyBorder="1" applyAlignment="1" applyProtection="1">
      <alignment horizontal="center" shrinkToFit="1"/>
    </xf>
    <xf numFmtId="0" fontId="0" fillId="18" borderId="47" xfId="0" applyFill="1" applyBorder="1" applyAlignment="1" applyProtection="1">
      <alignment horizontal="center" shrinkToFit="1"/>
    </xf>
    <xf numFmtId="0" fontId="0" fillId="18" borderId="48" xfId="0" applyFill="1" applyBorder="1" applyAlignment="1" applyProtection="1">
      <alignment horizontal="center" shrinkToFit="1"/>
    </xf>
    <xf numFmtId="0" fontId="0" fillId="3" borderId="148" xfId="0" applyFill="1" applyBorder="1" applyAlignment="1" applyProtection="1">
      <alignment horizontal="center" shrinkToFit="1"/>
    </xf>
    <xf numFmtId="0" fontId="0" fillId="3" borderId="149" xfId="0" applyFill="1" applyBorder="1" applyAlignment="1" applyProtection="1">
      <alignment horizontal="center" shrinkToFit="1"/>
    </xf>
    <xf numFmtId="0" fontId="50" fillId="16" borderId="135" xfId="3" applyFont="1" applyFill="1" applyBorder="1" applyAlignment="1" applyProtection="1">
      <alignment horizontal="center" vertical="center"/>
    </xf>
    <xf numFmtId="0" fontId="50" fillId="16" borderId="136" xfId="3" applyFont="1" applyFill="1" applyBorder="1" applyAlignment="1" applyProtection="1">
      <alignment horizontal="center" vertical="center"/>
    </xf>
    <xf numFmtId="0" fontId="50" fillId="16" borderId="137" xfId="3" applyFont="1" applyFill="1" applyBorder="1" applyAlignment="1" applyProtection="1">
      <alignment horizontal="center" vertical="center"/>
    </xf>
    <xf numFmtId="0" fontId="7" fillId="3" borderId="150" xfId="0" applyFont="1" applyFill="1" applyBorder="1" applyAlignment="1" applyProtection="1">
      <alignment horizontal="center" textRotation="90"/>
    </xf>
    <xf numFmtId="0" fontId="7" fillId="3" borderId="151" xfId="0" applyFont="1" applyFill="1" applyBorder="1" applyAlignment="1" applyProtection="1">
      <alignment horizontal="center" textRotation="90"/>
    </xf>
    <xf numFmtId="0" fontId="7" fillId="3" borderId="152" xfId="0" applyFont="1" applyFill="1" applyBorder="1" applyAlignment="1" applyProtection="1">
      <alignment horizontal="center" textRotation="90"/>
    </xf>
    <xf numFmtId="0" fontId="7" fillId="3" borderId="84" xfId="0" applyFont="1" applyFill="1" applyBorder="1" applyAlignment="1" applyProtection="1">
      <alignment horizontal="center" textRotation="90"/>
    </xf>
    <xf numFmtId="0" fontId="7" fillId="3" borderId="92" xfId="0" applyFont="1" applyFill="1" applyBorder="1" applyAlignment="1" applyProtection="1">
      <alignment horizontal="center" textRotation="90"/>
    </xf>
    <xf numFmtId="0" fontId="7" fillId="3" borderId="153" xfId="0" applyFont="1" applyFill="1" applyBorder="1" applyAlignment="1" applyProtection="1">
      <alignment horizontal="center" textRotation="90"/>
    </xf>
    <xf numFmtId="0" fontId="72" fillId="13" borderId="44" xfId="0" applyFont="1" applyFill="1" applyBorder="1" applyAlignment="1" applyProtection="1">
      <alignment horizontal="center" shrinkToFit="1"/>
    </xf>
    <xf numFmtId="0" fontId="72" fillId="13" borderId="39" xfId="0" applyFont="1" applyFill="1" applyBorder="1" applyAlignment="1" applyProtection="1">
      <alignment horizontal="center" shrinkToFit="1"/>
    </xf>
    <xf numFmtId="0" fontId="72" fillId="13" borderId="40" xfId="0" applyFont="1" applyFill="1" applyBorder="1" applyAlignment="1" applyProtection="1">
      <alignment horizontal="center" shrinkToFit="1"/>
    </xf>
    <xf numFmtId="0" fontId="0" fillId="17" borderId="44" xfId="0" applyFill="1" applyBorder="1" applyAlignment="1" applyProtection="1">
      <alignment horizontal="center" shrinkToFit="1"/>
    </xf>
    <xf numFmtId="0" fontId="0" fillId="17" borderId="39" xfId="0" applyFill="1" applyBorder="1" applyAlignment="1" applyProtection="1">
      <alignment horizontal="center" shrinkToFit="1"/>
    </xf>
    <xf numFmtId="0" fontId="0" fillId="17" borderId="40" xfId="0" applyFill="1" applyBorder="1" applyAlignment="1" applyProtection="1">
      <alignment horizontal="center" shrinkToFit="1"/>
    </xf>
    <xf numFmtId="0" fontId="0" fillId="18" borderId="44" xfId="0" applyFill="1" applyBorder="1" applyAlignment="1" applyProtection="1">
      <alignment horizontal="center" shrinkToFit="1"/>
    </xf>
    <xf numFmtId="0" fontId="0" fillId="18" borderId="40" xfId="0" applyFill="1" applyBorder="1" applyAlignment="1" applyProtection="1">
      <alignment horizontal="center" shrinkToFit="1"/>
    </xf>
    <xf numFmtId="181" fontId="0" fillId="0" borderId="0" xfId="0" applyNumberFormat="1" applyBorder="1" applyAlignment="1" applyProtection="1">
      <alignment horizontal="center"/>
    </xf>
    <xf numFmtId="181" fontId="0" fillId="0" borderId="0" xfId="0" applyNumberFormat="1" applyFill="1" applyBorder="1" applyAlignment="1" applyProtection="1">
      <alignment horizontal="center"/>
    </xf>
    <xf numFmtId="1" fontId="4" fillId="0" borderId="0" xfId="0" applyNumberFormat="1" applyFont="1" applyBorder="1" applyAlignment="1" applyProtection="1">
      <alignment horizontal="center"/>
    </xf>
    <xf numFmtId="0" fontId="4" fillId="0" borderId="0" xfId="0" applyFont="1" applyBorder="1" applyAlignment="1" applyProtection="1">
      <alignment horizontal="center"/>
    </xf>
    <xf numFmtId="0" fontId="3" fillId="0" borderId="0" xfId="0" applyFont="1" applyBorder="1" applyAlignment="1" applyProtection="1">
      <alignment horizontal="center"/>
    </xf>
    <xf numFmtId="193" fontId="0" fillId="0" borderId="0" xfId="0" applyNumberFormat="1" applyFill="1" applyBorder="1" applyAlignment="1" applyProtection="1">
      <alignment horizontal="center"/>
    </xf>
    <xf numFmtId="190" fontId="0" fillId="0" borderId="0" xfId="0" applyNumberFormat="1" applyFill="1" applyBorder="1" applyAlignment="1" applyProtection="1">
      <alignment horizontal="center"/>
    </xf>
    <xf numFmtId="192" fontId="29" fillId="0" borderId="42" xfId="0" applyNumberFormat="1" applyFont="1" applyBorder="1" applyAlignment="1" applyProtection="1">
      <alignment horizontal="center"/>
    </xf>
    <xf numFmtId="0" fontId="22" fillId="0" borderId="0" xfId="0" applyFont="1" applyBorder="1" applyAlignment="1" applyProtection="1">
      <alignment horizontal="left" vertical="top" wrapText="1"/>
    </xf>
    <xf numFmtId="0" fontId="22" fillId="0" borderId="42" xfId="0" applyFont="1" applyBorder="1" applyAlignment="1" applyProtection="1">
      <alignment horizontal="left" vertical="top" wrapText="1"/>
    </xf>
    <xf numFmtId="1" fontId="4" fillId="0" borderId="39" xfId="0" applyNumberFormat="1" applyFont="1" applyBorder="1" applyAlignment="1" applyProtection="1">
      <alignment horizontal="center"/>
    </xf>
    <xf numFmtId="181" fontId="0" fillId="0" borderId="39" xfId="0" applyNumberFormat="1" applyBorder="1" applyAlignment="1" applyProtection="1">
      <alignment horizontal="center"/>
    </xf>
    <xf numFmtId="0" fontId="32" fillId="0" borderId="0" xfId="0" applyFont="1" applyAlignment="1" applyProtection="1">
      <alignment horizontal="center" vertical="center" shrinkToFit="1"/>
    </xf>
    <xf numFmtId="0" fontId="5" fillId="8" borderId="0" xfId="0" applyFont="1" applyFill="1" applyBorder="1" applyAlignment="1" applyProtection="1">
      <alignment horizontal="center"/>
    </xf>
    <xf numFmtId="0" fontId="0" fillId="8" borderId="0" xfId="0" applyFill="1" applyBorder="1" applyAlignment="1" applyProtection="1">
      <alignment horizontal="center"/>
    </xf>
    <xf numFmtId="190" fontId="0" fillId="0" borderId="42" xfId="0" applyNumberFormat="1" applyFill="1" applyBorder="1" applyAlignment="1" applyProtection="1">
      <alignment horizontal="center"/>
    </xf>
    <xf numFmtId="190" fontId="4" fillId="9" borderId="0" xfId="0" applyNumberFormat="1" applyFont="1" applyFill="1" applyBorder="1" applyAlignment="1" applyProtection="1">
      <alignment horizontal="center"/>
    </xf>
    <xf numFmtId="0" fontId="4" fillId="9" borderId="0" xfId="0" applyFont="1" applyFill="1" applyBorder="1" applyAlignment="1" applyProtection="1">
      <alignment horizontal="center"/>
    </xf>
    <xf numFmtId="193" fontId="0" fillId="0" borderId="42" xfId="0" applyNumberFormat="1" applyFill="1" applyBorder="1" applyAlignment="1" applyProtection="1">
      <alignment horizontal="center"/>
    </xf>
    <xf numFmtId="1" fontId="4" fillId="9" borderId="0" xfId="0" applyNumberFormat="1" applyFont="1" applyFill="1" applyBorder="1" applyAlignment="1" applyProtection="1">
      <alignment horizontal="center"/>
    </xf>
    <xf numFmtId="228" fontId="15" fillId="19" borderId="14" xfId="0" applyNumberFormat="1" applyFont="1" applyFill="1" applyBorder="1" applyAlignment="1" applyProtection="1">
      <alignment horizontal="right" vertical="center" indent="1" shrinkToFit="1"/>
    </xf>
    <xf numFmtId="228" fontId="15" fillId="19" borderId="12" xfId="0" applyNumberFormat="1" applyFont="1" applyFill="1" applyBorder="1" applyAlignment="1" applyProtection="1">
      <alignment horizontal="right" vertical="center" indent="1" shrinkToFit="1"/>
    </xf>
    <xf numFmtId="176" fontId="15" fillId="19" borderId="14" xfId="0" applyNumberFormat="1" applyFont="1" applyFill="1" applyBorder="1" applyAlignment="1" applyProtection="1">
      <alignment horizontal="right" vertical="center" indent="1" shrinkToFit="1"/>
    </xf>
    <xf numFmtId="176" fontId="15" fillId="19" borderId="12" xfId="0" applyNumberFormat="1" applyFont="1" applyFill="1" applyBorder="1" applyAlignment="1" applyProtection="1">
      <alignment horizontal="right" vertical="center" indent="1" shrinkToFit="1"/>
    </xf>
    <xf numFmtId="3" fontId="15" fillId="19" borderId="14" xfId="0" applyNumberFormat="1" applyFont="1" applyFill="1" applyBorder="1" applyAlignment="1" applyProtection="1">
      <alignment horizontal="right" vertical="center" indent="1" shrinkToFit="1"/>
    </xf>
    <xf numFmtId="3" fontId="15" fillId="19" borderId="12" xfId="0" applyNumberFormat="1" applyFont="1" applyFill="1" applyBorder="1" applyAlignment="1" applyProtection="1">
      <alignment horizontal="right" vertical="center" indent="1" shrinkToFit="1"/>
    </xf>
    <xf numFmtId="226" fontId="15" fillId="19" borderId="14" xfId="0" applyNumberFormat="1" applyFont="1" applyFill="1" applyBorder="1" applyAlignment="1" applyProtection="1">
      <alignment horizontal="right" vertical="center" indent="1" shrinkToFit="1"/>
    </xf>
    <xf numFmtId="226" fontId="15" fillId="19" borderId="12" xfId="0" applyNumberFormat="1" applyFont="1" applyFill="1" applyBorder="1" applyAlignment="1" applyProtection="1">
      <alignment horizontal="right" vertical="center" indent="1" shrinkToFit="1"/>
    </xf>
    <xf numFmtId="165" fontId="87" fillId="19" borderId="156" xfId="0" applyNumberFormat="1" applyFont="1" applyFill="1" applyBorder="1" applyAlignment="1" applyProtection="1">
      <alignment horizontal="center" vertical="center"/>
    </xf>
    <xf numFmtId="165" fontId="87" fillId="19" borderId="158" xfId="0" applyNumberFormat="1" applyFont="1" applyFill="1" applyBorder="1" applyAlignment="1" applyProtection="1">
      <alignment horizontal="center" vertical="center"/>
    </xf>
    <xf numFmtId="207" fontId="4" fillId="19" borderId="134" xfId="0" applyNumberFormat="1" applyFont="1" applyFill="1" applyBorder="1" applyAlignment="1" applyProtection="1">
      <alignment horizontal="center" vertical="center" textRotation="90"/>
    </xf>
    <xf numFmtId="207" fontId="4" fillId="19" borderId="60" xfId="0" applyNumberFormat="1" applyFont="1" applyFill="1" applyBorder="1" applyAlignment="1" applyProtection="1">
      <alignment horizontal="center" vertical="center" textRotation="90"/>
    </xf>
    <xf numFmtId="207" fontId="4" fillId="19" borderId="20" xfId="0" applyNumberFormat="1" applyFont="1" applyFill="1" applyBorder="1" applyAlignment="1" applyProtection="1">
      <alignment horizontal="center" vertical="center" textRotation="90"/>
    </xf>
    <xf numFmtId="2" fontId="0" fillId="44" borderId="296" xfId="0" applyNumberFormat="1" applyFill="1" applyBorder="1" applyAlignment="1" applyProtection="1">
      <alignment horizontal="center"/>
    </xf>
    <xf numFmtId="2" fontId="0" fillId="44" borderId="297" xfId="0" applyNumberFormat="1" applyFill="1" applyBorder="1" applyAlignment="1" applyProtection="1">
      <alignment horizontal="center"/>
    </xf>
    <xf numFmtId="172" fontId="15" fillId="20" borderId="59" xfId="0" applyNumberFormat="1" applyFont="1" applyFill="1" applyBorder="1" applyAlignment="1" applyProtection="1">
      <alignment horizontal="right" vertical="center" shrinkToFit="1"/>
    </xf>
    <xf numFmtId="186" fontId="15" fillId="20" borderId="59" xfId="0" applyNumberFormat="1" applyFont="1" applyFill="1" applyBorder="1" applyAlignment="1" applyProtection="1">
      <alignment horizontal="right" vertical="center" shrinkToFit="1"/>
    </xf>
    <xf numFmtId="3" fontId="81" fillId="3" borderId="156" xfId="0" applyNumberFormat="1" applyFont="1" applyFill="1" applyBorder="1" applyAlignment="1" applyProtection="1">
      <alignment horizontal="center" vertical="center"/>
    </xf>
    <xf numFmtId="3" fontId="81" fillId="3" borderId="158" xfId="0" applyNumberFormat="1" applyFont="1" applyFill="1" applyBorder="1" applyAlignment="1" applyProtection="1">
      <alignment horizontal="center" vertical="center"/>
    </xf>
    <xf numFmtId="170" fontId="15" fillId="19" borderId="14" xfId="0" quotePrefix="1" applyNumberFormat="1" applyFont="1" applyFill="1" applyBorder="1" applyAlignment="1" applyProtection="1">
      <alignment horizontal="right" vertical="center" indent="1" shrinkToFit="1"/>
    </xf>
    <xf numFmtId="170" fontId="15" fillId="19" borderId="12" xfId="0" applyNumberFormat="1" applyFont="1" applyFill="1" applyBorder="1" applyAlignment="1" applyProtection="1">
      <alignment horizontal="right" vertical="center" indent="1" shrinkToFit="1"/>
    </xf>
    <xf numFmtId="170" fontId="15" fillId="19" borderId="14" xfId="0" applyNumberFormat="1" applyFont="1" applyFill="1" applyBorder="1" applyAlignment="1" applyProtection="1">
      <alignment horizontal="right" vertical="center" indent="1" shrinkToFit="1"/>
    </xf>
    <xf numFmtId="176" fontId="15" fillId="42" borderId="14" xfId="0" applyNumberFormat="1" applyFont="1" applyFill="1" applyBorder="1" applyAlignment="1" applyProtection="1">
      <alignment horizontal="right" vertical="center" indent="1" shrinkToFit="1"/>
    </xf>
    <xf numFmtId="176" fontId="15" fillId="42" borderId="12" xfId="0" applyNumberFormat="1" applyFont="1" applyFill="1" applyBorder="1" applyAlignment="1" applyProtection="1">
      <alignment horizontal="right" vertical="center" indent="1" shrinkToFit="1"/>
    </xf>
    <xf numFmtId="0" fontId="15" fillId="57" borderId="30" xfId="0" applyFont="1" applyFill="1" applyBorder="1" applyAlignment="1" applyProtection="1">
      <alignment horizontal="left" vertical="center" wrapText="1"/>
    </xf>
    <xf numFmtId="0" fontId="15" fillId="57" borderId="31" xfId="0" applyFont="1" applyFill="1" applyBorder="1" applyAlignment="1" applyProtection="1">
      <alignment horizontal="left" vertical="center" wrapText="1"/>
    </xf>
    <xf numFmtId="0" fontId="15" fillId="57" borderId="32" xfId="0" applyFont="1" applyFill="1" applyBorder="1" applyAlignment="1" applyProtection="1">
      <alignment horizontal="left" vertical="center" wrapText="1"/>
    </xf>
    <xf numFmtId="4" fontId="15" fillId="19" borderId="14" xfId="0" applyNumberFormat="1" applyFont="1" applyFill="1" applyBorder="1" applyAlignment="1" applyProtection="1">
      <alignment horizontal="right" vertical="center" indent="1" shrinkToFit="1"/>
    </xf>
    <xf numFmtId="4" fontId="15" fillId="19" borderId="12" xfId="0" applyNumberFormat="1" applyFont="1" applyFill="1" applyBorder="1" applyAlignment="1" applyProtection="1">
      <alignment horizontal="right" vertical="center" indent="1" shrinkToFit="1"/>
    </xf>
    <xf numFmtId="205" fontId="15" fillId="19" borderId="14" xfId="0" applyNumberFormat="1" applyFont="1" applyFill="1" applyBorder="1" applyAlignment="1" applyProtection="1">
      <alignment horizontal="right" vertical="center" indent="1" shrinkToFit="1"/>
    </xf>
    <xf numFmtId="205" fontId="15" fillId="19" borderId="12" xfId="0" applyNumberFormat="1" applyFont="1" applyFill="1" applyBorder="1" applyAlignment="1" applyProtection="1">
      <alignment horizontal="right" vertical="center" indent="1" shrinkToFit="1"/>
    </xf>
    <xf numFmtId="170" fontId="15" fillId="42" borderId="14" xfId="0" applyNumberFormat="1" applyFont="1" applyFill="1" applyBorder="1" applyAlignment="1" applyProtection="1">
      <alignment horizontal="right" vertical="center" indent="1" shrinkToFit="1"/>
    </xf>
    <xf numFmtId="170" fontId="15" fillId="42" borderId="12" xfId="0" applyNumberFormat="1" applyFont="1" applyFill="1" applyBorder="1" applyAlignment="1" applyProtection="1">
      <alignment horizontal="right" vertical="center" indent="1" shrinkToFit="1"/>
    </xf>
    <xf numFmtId="0" fontId="15" fillId="31" borderId="14" xfId="0" applyFont="1" applyFill="1" applyBorder="1" applyAlignment="1" applyProtection="1">
      <alignment horizontal="right" vertical="center" indent="1"/>
    </xf>
    <xf numFmtId="0" fontId="15" fillId="31" borderId="12" xfId="0" applyFont="1" applyFill="1" applyBorder="1" applyAlignment="1" applyProtection="1">
      <alignment horizontal="right" vertical="center" indent="1"/>
    </xf>
    <xf numFmtId="169" fontId="15" fillId="19" borderId="14" xfId="0" applyNumberFormat="1" applyFont="1" applyFill="1" applyBorder="1" applyAlignment="1" applyProtection="1">
      <alignment horizontal="right" vertical="center" indent="1" shrinkToFit="1"/>
    </xf>
    <xf numFmtId="169" fontId="15" fillId="19" borderId="12" xfId="0" applyNumberFormat="1" applyFont="1" applyFill="1" applyBorder="1" applyAlignment="1" applyProtection="1">
      <alignment horizontal="right" vertical="center" indent="1" shrinkToFit="1"/>
    </xf>
    <xf numFmtId="9" fontId="15" fillId="19" borderId="14" xfId="0" applyNumberFormat="1" applyFont="1" applyFill="1" applyBorder="1" applyAlignment="1" applyProtection="1">
      <alignment horizontal="right" vertical="center" indent="1"/>
    </xf>
    <xf numFmtId="9" fontId="15" fillId="19" borderId="12" xfId="0" applyNumberFormat="1" applyFont="1" applyFill="1" applyBorder="1" applyAlignment="1" applyProtection="1">
      <alignment horizontal="right" vertical="center" indent="1"/>
    </xf>
    <xf numFmtId="189" fontId="15" fillId="42" borderId="14" xfId="0" applyNumberFormat="1" applyFont="1" applyFill="1" applyBorder="1" applyAlignment="1" applyProtection="1">
      <alignment horizontal="right" vertical="center" indent="1"/>
    </xf>
    <xf numFmtId="189" fontId="15" fillId="42" borderId="12" xfId="0" applyNumberFormat="1" applyFont="1" applyFill="1" applyBorder="1" applyAlignment="1" applyProtection="1">
      <alignment horizontal="right" vertical="center" indent="1"/>
    </xf>
    <xf numFmtId="166" fontId="15" fillId="42" borderId="14" xfId="0" applyNumberFormat="1" applyFont="1" applyFill="1" applyBorder="1" applyAlignment="1" applyProtection="1">
      <alignment horizontal="right" vertical="center" indent="1"/>
    </xf>
    <xf numFmtId="166" fontId="15" fillId="42" borderId="12" xfId="0" applyNumberFormat="1" applyFont="1" applyFill="1" applyBorder="1" applyAlignment="1" applyProtection="1">
      <alignment horizontal="right" vertical="center" indent="1"/>
    </xf>
    <xf numFmtId="171" fontId="15" fillId="19" borderId="14" xfId="0" applyNumberFormat="1" applyFont="1" applyFill="1" applyBorder="1" applyAlignment="1" applyProtection="1">
      <alignment horizontal="right" vertical="center" indent="1" shrinkToFit="1"/>
    </xf>
    <xf numFmtId="171" fontId="15" fillId="19" borderId="12" xfId="0" applyNumberFormat="1" applyFont="1" applyFill="1" applyBorder="1" applyAlignment="1" applyProtection="1">
      <alignment horizontal="right" vertical="center" indent="1" shrinkToFit="1"/>
    </xf>
    <xf numFmtId="0" fontId="15" fillId="19" borderId="14" xfId="0" applyFont="1" applyFill="1" applyBorder="1" applyAlignment="1" applyProtection="1">
      <alignment horizontal="right" vertical="center" indent="1"/>
    </xf>
    <xf numFmtId="0" fontId="15" fillId="19" borderId="12" xfId="0" applyFont="1" applyFill="1" applyBorder="1" applyAlignment="1" applyProtection="1">
      <alignment horizontal="right" vertical="center" indent="1"/>
    </xf>
    <xf numFmtId="188" fontId="15" fillId="42" borderId="14" xfId="0" applyNumberFormat="1" applyFont="1" applyFill="1" applyBorder="1" applyAlignment="1" applyProtection="1">
      <alignment horizontal="right" vertical="center" indent="1" shrinkToFit="1"/>
    </xf>
    <xf numFmtId="188" fontId="15" fillId="42" borderId="12" xfId="0" applyNumberFormat="1" applyFont="1" applyFill="1" applyBorder="1" applyAlignment="1" applyProtection="1">
      <alignment horizontal="right" vertical="center" indent="1" shrinkToFit="1"/>
    </xf>
    <xf numFmtId="169" fontId="15" fillId="42" borderId="14" xfId="0" applyNumberFormat="1" applyFont="1" applyFill="1" applyBorder="1" applyAlignment="1" applyProtection="1">
      <alignment horizontal="right" vertical="center" indent="1" shrinkToFit="1"/>
    </xf>
    <xf numFmtId="169" fontId="15" fillId="42" borderId="12" xfId="0" applyNumberFormat="1" applyFont="1" applyFill="1" applyBorder="1" applyAlignment="1" applyProtection="1">
      <alignment horizontal="right" vertical="center" indent="1" shrinkToFit="1"/>
    </xf>
    <xf numFmtId="183" fontId="15" fillId="19" borderId="14" xfId="0" applyNumberFormat="1" applyFont="1" applyFill="1" applyBorder="1" applyAlignment="1" applyProtection="1">
      <alignment horizontal="right" vertical="center" indent="1" shrinkToFit="1"/>
    </xf>
    <xf numFmtId="183" fontId="15" fillId="19" borderId="12" xfId="0" applyNumberFormat="1" applyFont="1" applyFill="1" applyBorder="1" applyAlignment="1" applyProtection="1">
      <alignment horizontal="right" vertical="center" indent="1" shrinkToFit="1"/>
    </xf>
    <xf numFmtId="0" fontId="4" fillId="19" borderId="134" xfId="0" applyFont="1" applyFill="1" applyBorder="1" applyAlignment="1" applyProtection="1">
      <alignment horizontal="center" vertical="center" textRotation="90"/>
    </xf>
    <xf numFmtId="0" fontId="4" fillId="19" borderId="60" xfId="0" applyFont="1" applyFill="1" applyBorder="1" applyAlignment="1" applyProtection="1">
      <alignment horizontal="center" vertical="center" textRotation="90"/>
    </xf>
    <xf numFmtId="0" fontId="4" fillId="19" borderId="113" xfId="0" applyFont="1" applyFill="1" applyBorder="1" applyAlignment="1" applyProtection="1">
      <alignment horizontal="center" vertical="center" textRotation="90"/>
    </xf>
    <xf numFmtId="167" fontId="15" fillId="19" borderId="14" xfId="0" applyNumberFormat="1" applyFont="1" applyFill="1" applyBorder="1" applyAlignment="1" applyProtection="1">
      <alignment horizontal="right" vertical="center" indent="1" shrinkToFit="1"/>
    </xf>
    <xf numFmtId="167" fontId="15" fillId="19" borderId="12" xfId="0" applyNumberFormat="1" applyFont="1" applyFill="1" applyBorder="1" applyAlignment="1" applyProtection="1">
      <alignment horizontal="right" vertical="center" indent="1" shrinkToFit="1"/>
    </xf>
    <xf numFmtId="14" fontId="133" fillId="58" borderId="14" xfId="0" applyNumberFormat="1" applyFont="1" applyFill="1" applyBorder="1" applyAlignment="1" applyProtection="1">
      <alignment horizontal="right" vertical="center" indent="1"/>
    </xf>
    <xf numFmtId="14" fontId="133" fillId="58" borderId="12" xfId="0" applyNumberFormat="1" applyFont="1" applyFill="1" applyBorder="1" applyAlignment="1" applyProtection="1">
      <alignment horizontal="right" vertical="center" indent="1"/>
    </xf>
    <xf numFmtId="191" fontId="15" fillId="19" borderId="14" xfId="0" applyNumberFormat="1" applyFont="1" applyFill="1" applyBorder="1" applyAlignment="1" applyProtection="1">
      <alignment horizontal="right" vertical="center" indent="1" shrinkToFit="1"/>
    </xf>
    <xf numFmtId="191" fontId="15" fillId="19" borderId="12" xfId="0" applyNumberFormat="1" applyFont="1" applyFill="1" applyBorder="1" applyAlignment="1" applyProtection="1">
      <alignment horizontal="right" vertical="center" indent="1" shrinkToFit="1"/>
    </xf>
    <xf numFmtId="195" fontId="0" fillId="21" borderId="57" xfId="0" applyNumberFormat="1" applyFill="1" applyBorder="1" applyAlignment="1">
      <alignment horizontal="right"/>
    </xf>
    <xf numFmtId="195" fontId="0" fillId="21" borderId="50" xfId="0" applyNumberFormat="1" applyFill="1" applyBorder="1" applyAlignment="1">
      <alignment horizontal="right"/>
    </xf>
    <xf numFmtId="0" fontId="0" fillId="21" borderId="154" xfId="0" applyFill="1" applyBorder="1" applyAlignment="1">
      <alignment horizontal="right"/>
    </xf>
    <xf numFmtId="0" fontId="0" fillId="21" borderId="155" xfId="0" applyFill="1" applyBorder="1" applyAlignment="1">
      <alignment horizontal="right"/>
    </xf>
    <xf numFmtId="166" fontId="0" fillId="21" borderId="9" xfId="0" applyNumberFormat="1" applyFill="1" applyBorder="1" applyAlignment="1">
      <alignment horizontal="right"/>
    </xf>
    <xf numFmtId="166" fontId="0" fillId="21" borderId="11" xfId="0" applyNumberFormat="1" applyFill="1" applyBorder="1" applyAlignment="1">
      <alignment horizontal="right"/>
    </xf>
    <xf numFmtId="9" fontId="0" fillId="21" borderId="0" xfId="0" applyNumberFormat="1" applyFill="1" applyBorder="1" applyAlignment="1">
      <alignment horizontal="right"/>
    </xf>
    <xf numFmtId="9" fontId="0" fillId="21" borderId="34" xfId="0" applyNumberFormat="1" applyFill="1" applyBorder="1" applyAlignment="1">
      <alignment horizontal="right"/>
    </xf>
    <xf numFmtId="195" fontId="0" fillId="21" borderId="31" xfId="0" applyNumberFormat="1" applyFill="1" applyBorder="1" applyAlignment="1">
      <alignment horizontal="right"/>
    </xf>
    <xf numFmtId="195" fontId="0" fillId="21" borderId="32" xfId="0" applyNumberFormat="1" applyFill="1" applyBorder="1" applyAlignment="1">
      <alignment horizontal="right"/>
    </xf>
    <xf numFmtId="0" fontId="0" fillId="21" borderId="0" xfId="0" applyFill="1" applyBorder="1" applyAlignment="1">
      <alignment horizontal="right"/>
    </xf>
    <xf numFmtId="0" fontId="0" fillId="21" borderId="34" xfId="0" applyFill="1" applyBorder="1" applyAlignment="1">
      <alignment horizontal="right"/>
    </xf>
    <xf numFmtId="166" fontId="0" fillId="21" borderId="0" xfId="0" applyNumberFormat="1" applyFill="1" applyBorder="1" applyAlignment="1">
      <alignment horizontal="right"/>
    </xf>
    <xf numFmtId="166" fontId="0" fillId="21" borderId="34" xfId="0" applyNumberFormat="1" applyFill="1" applyBorder="1" applyAlignment="1">
      <alignment horizontal="right"/>
    </xf>
    <xf numFmtId="169" fontId="0" fillId="21" borderId="0" xfId="0" applyNumberFormat="1" applyFill="1" applyBorder="1" applyAlignment="1">
      <alignment horizontal="right"/>
    </xf>
    <xf numFmtId="169" fontId="0" fillId="21" borderId="34" xfId="0" applyNumberFormat="1" applyFill="1" applyBorder="1" applyAlignment="1">
      <alignment horizontal="right"/>
    </xf>
  </cellXfs>
  <cellStyles count="5">
    <cellStyle name="Euro" xfId="1"/>
    <cellStyle name="Hintergrund" xfId="2"/>
    <cellStyle name="Link" xfId="3" builtinId="8"/>
    <cellStyle name="Standard" xfId="0" builtinId="0"/>
    <cellStyle name="Standard 2" xfId="4"/>
  </cellStyles>
  <dxfs count="144">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6600"/>
        </patternFill>
      </fill>
    </dxf>
    <dxf>
      <fill>
        <patternFill>
          <bgColor rgb="FFFFFF66"/>
        </patternFill>
      </fill>
      <border>
        <left style="hair">
          <color indexed="64"/>
        </left>
        <right style="hair">
          <color indexed="64"/>
        </right>
        <top style="hair">
          <color indexed="64"/>
        </top>
        <bottom style="hair">
          <color indexed="64"/>
        </bottom>
      </border>
    </dxf>
    <dxf>
      <font>
        <b/>
        <i val="0"/>
        <color rgb="FFFF0000"/>
      </font>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CCFF"/>
        </patternFill>
      </fill>
    </dxf>
    <dxf>
      <fill>
        <patternFill>
          <bgColor rgb="FFFFCCFF"/>
        </patternFill>
      </fill>
    </dxf>
    <dxf>
      <fill>
        <patternFill>
          <bgColor rgb="FFFF6600"/>
        </patternFill>
      </fill>
    </dxf>
    <dxf>
      <fill>
        <patternFill>
          <bgColor rgb="FFFF6600"/>
        </patternFill>
      </fill>
    </dxf>
    <dxf>
      <border>
        <left style="thin">
          <color rgb="FFFF0000"/>
        </left>
        <right style="thin">
          <color rgb="FFFF0000"/>
        </right>
        <top style="thin">
          <color rgb="FFFF0000"/>
        </top>
        <bottom style="thin">
          <color rgb="FFFF0000"/>
        </bottom>
      </border>
    </dxf>
    <dxf>
      <border>
        <bottom/>
      </border>
    </dxf>
    <dxf>
      <font>
        <color theme="0"/>
      </font>
      <fill>
        <patternFill>
          <bgColor rgb="FFFF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rgb="FFFF0000"/>
      </font>
    </dxf>
  </dxfs>
  <tableStyles count="0" defaultTableStyle="TableStyleMedium2" defaultPivotStyle="PivotStyleLight16"/>
  <colors>
    <mruColors>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2044222889405"/>
          <c:y val="7.5423861490997834E-2"/>
          <c:w val="0.86137068298117414"/>
          <c:h val="0.75622093290970205"/>
        </c:manualLayout>
      </c:layout>
      <c:barChart>
        <c:barDir val="col"/>
        <c:grouping val="clustered"/>
        <c:varyColors val="0"/>
        <c:ser>
          <c:idx val="0"/>
          <c:order val="0"/>
          <c:spPr>
            <a:solidFill>
              <a:srgbClr val="66CCFF"/>
            </a:solidFill>
            <a:ln w="28575">
              <a:noFill/>
            </a:ln>
          </c:spPr>
          <c:invertIfNegative val="0"/>
          <c:val>
            <c:numRef>
              <c:f>Grafik_Ertrag!$H$10:$H$21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441-47BD-82CB-3DBFB288A397}"/>
            </c:ext>
          </c:extLst>
        </c:ser>
        <c:dLbls>
          <c:showLegendKey val="0"/>
          <c:showVal val="0"/>
          <c:showCatName val="0"/>
          <c:showSerName val="0"/>
          <c:showPercent val="0"/>
          <c:showBubbleSize val="0"/>
        </c:dLbls>
        <c:gapWidth val="50"/>
        <c:axId val="104806272"/>
        <c:axId val="104807808"/>
      </c:barChart>
      <c:stockChart>
        <c:ser>
          <c:idx val="1"/>
          <c:order val="1"/>
          <c:spPr>
            <a:ln w="3175">
              <a:solidFill>
                <a:srgbClr val="FF0000"/>
              </a:solidFill>
              <a:prstDash val="dash"/>
            </a:ln>
          </c:spPr>
          <c:marker>
            <c:symbol val="dash"/>
            <c:size val="10"/>
            <c:spPr>
              <a:solidFill>
                <a:srgbClr val="FF0000"/>
              </a:solidFill>
              <a:ln>
                <a:solidFill>
                  <a:srgbClr val="800000"/>
                </a:solidFill>
              </a:ln>
            </c:spPr>
          </c:marker>
          <c:val>
            <c:numRef>
              <c:f>Grafik_Ertrag!$I$10:$I$21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441-47BD-82CB-3DBFB288A397}"/>
            </c:ext>
          </c:extLst>
        </c:ser>
        <c:ser>
          <c:idx val="2"/>
          <c:order val="2"/>
          <c:spPr>
            <a:ln w="3175">
              <a:solidFill>
                <a:srgbClr val="008000"/>
              </a:solidFill>
              <a:prstDash val="dash"/>
            </a:ln>
          </c:spPr>
          <c:marker>
            <c:symbol val="dash"/>
            <c:size val="10"/>
            <c:spPr>
              <a:solidFill>
                <a:srgbClr val="00FF00"/>
              </a:solidFill>
              <a:ln>
                <a:solidFill>
                  <a:srgbClr val="008000"/>
                </a:solidFill>
              </a:ln>
            </c:spPr>
          </c:marker>
          <c:val>
            <c:numRef>
              <c:f>Grafik_Ertrag!$J$10:$J$21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441-47BD-82CB-3DBFB288A397}"/>
            </c:ext>
          </c:extLst>
        </c:ser>
        <c:ser>
          <c:idx val="3"/>
          <c:order val="3"/>
          <c:spPr>
            <a:ln w="3175">
              <a:solidFill>
                <a:srgbClr val="0000FF"/>
              </a:solidFill>
              <a:prstDash val="dash"/>
            </a:ln>
          </c:spPr>
          <c:marker>
            <c:symbol val="circle"/>
            <c:size val="8"/>
            <c:spPr>
              <a:solidFill>
                <a:srgbClr val="FFFF00"/>
              </a:solidFill>
              <a:ln w="25400">
                <a:solidFill>
                  <a:srgbClr val="0000FF"/>
                </a:solidFill>
              </a:ln>
            </c:spPr>
          </c:marker>
          <c:val>
            <c:numRef>
              <c:f>Grafik_Ertrag!$K$10:$K$21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A441-47BD-82CB-3DBFB288A397}"/>
            </c:ext>
          </c:extLst>
        </c:ser>
        <c:dLbls>
          <c:showLegendKey val="0"/>
          <c:showVal val="0"/>
          <c:showCatName val="0"/>
          <c:showSerName val="0"/>
          <c:showPercent val="0"/>
          <c:showBubbleSize val="0"/>
        </c:dLbls>
        <c:hiLowLines/>
        <c:axId val="104821888"/>
        <c:axId val="104823424"/>
      </c:stockChart>
      <c:catAx>
        <c:axId val="104806272"/>
        <c:scaling>
          <c:orientation val="minMax"/>
        </c:scaling>
        <c:delete val="0"/>
        <c:axPos val="b"/>
        <c:majorTickMark val="none"/>
        <c:minorTickMark val="none"/>
        <c:tickLblPos val="none"/>
        <c:crossAx val="104807808"/>
        <c:crosses val="autoZero"/>
        <c:auto val="1"/>
        <c:lblAlgn val="ctr"/>
        <c:lblOffset val="100"/>
        <c:noMultiLvlLbl val="0"/>
      </c:catAx>
      <c:valAx>
        <c:axId val="104807808"/>
        <c:scaling>
          <c:orientation val="minMax"/>
          <c:max val="9"/>
          <c:min val="0"/>
        </c:scaling>
        <c:delete val="0"/>
        <c:axPos val="l"/>
        <c:majorGridlines>
          <c:spPr>
            <a:ln>
              <a:prstDash val="dash"/>
            </a:ln>
          </c:spPr>
        </c:majorGridlines>
        <c:numFmt formatCode="#,##0.00" sourceLinked="1"/>
        <c:majorTickMark val="out"/>
        <c:minorTickMark val="none"/>
        <c:tickLblPos val="none"/>
        <c:crossAx val="104806272"/>
        <c:crosses val="autoZero"/>
        <c:crossBetween val="between"/>
        <c:majorUnit val="1"/>
      </c:valAx>
      <c:catAx>
        <c:axId val="104821888"/>
        <c:scaling>
          <c:orientation val="minMax"/>
        </c:scaling>
        <c:delete val="1"/>
        <c:axPos val="b"/>
        <c:majorTickMark val="out"/>
        <c:minorTickMark val="none"/>
        <c:tickLblPos val="nextTo"/>
        <c:crossAx val="104823424"/>
        <c:crosses val="autoZero"/>
        <c:auto val="1"/>
        <c:lblAlgn val="ctr"/>
        <c:lblOffset val="100"/>
        <c:noMultiLvlLbl val="0"/>
      </c:catAx>
      <c:valAx>
        <c:axId val="104823424"/>
        <c:scaling>
          <c:orientation val="minMax"/>
          <c:max val="9"/>
          <c:min val="0"/>
        </c:scaling>
        <c:delete val="0"/>
        <c:axPos val="r"/>
        <c:numFmt formatCode="#,##0.00" sourceLinked="1"/>
        <c:majorTickMark val="none"/>
        <c:minorTickMark val="none"/>
        <c:tickLblPos val="none"/>
        <c:crossAx val="104821888"/>
        <c:crosses val="max"/>
        <c:crossBetween val="between"/>
        <c:majorUnit val="1"/>
      </c:valAx>
      <c:spPr>
        <a:gradFill flip="none" rotWithShape="1">
          <a:gsLst>
            <a:gs pos="0">
              <a:srgbClr val="FFFF00"/>
            </a:gs>
            <a:gs pos="100000">
              <a:schemeClr val="bg1"/>
            </a:gs>
          </a:gsLst>
          <a:lin ang="2700000" scaled="1"/>
          <a:tileRect/>
        </a:gradFill>
        <a:ln>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636110109148452"/>
          <c:y val="0.14317561265308523"/>
          <c:w val="0.70054198563796821"/>
          <c:h val="0.69230155318993358"/>
        </c:manualLayout>
      </c:layout>
      <c:scatterChart>
        <c:scatterStyle val="lineMarker"/>
        <c:varyColors val="0"/>
        <c:ser>
          <c:idx val="0"/>
          <c:order val="0"/>
          <c:tx>
            <c:strRef>
              <c:f>Grafik_Kosten!$B$37</c:f>
              <c:strCache>
                <c:ptCount val="1"/>
              </c:strCache>
            </c:strRef>
          </c:tx>
          <c:spPr>
            <a:ln w="25400">
              <a:solidFill>
                <a:srgbClr val="FF0000"/>
              </a:solidFill>
              <a:prstDash val="sysDash"/>
            </a:ln>
          </c:spPr>
          <c:marker>
            <c:symbol val="none"/>
          </c:marker>
          <c:dPt>
            <c:idx val="12"/>
            <c:bubble3D val="0"/>
            <c:extLst>
              <c:ext xmlns:c16="http://schemas.microsoft.com/office/drawing/2014/chart" uri="{C3380CC4-5D6E-409C-BE32-E72D297353CC}">
                <c16:uniqueId val="{00000000-2CF8-46CC-9430-A712628A4E8B}"/>
              </c:ext>
            </c:extLst>
          </c:dPt>
          <c:dPt>
            <c:idx val="13"/>
            <c:marker>
              <c:symbol val="circle"/>
              <c:size val="10"/>
              <c:spPr>
                <a:solidFill>
                  <a:srgbClr val="FFFF00"/>
                </a:solidFill>
                <a:ln w="38100">
                  <a:solidFill>
                    <a:srgbClr val="0000FF"/>
                  </a:solidFill>
                </a:ln>
              </c:spPr>
            </c:marker>
            <c:bubble3D val="0"/>
            <c:extLst>
              <c:ext xmlns:c16="http://schemas.microsoft.com/office/drawing/2014/chart" uri="{C3380CC4-5D6E-409C-BE32-E72D297353CC}">
                <c16:uniqueId val="{00000001-2CF8-46CC-9430-A712628A4E8B}"/>
              </c:ext>
            </c:extLst>
          </c:dPt>
          <c:xVal>
            <c:numRef>
              <c:f>Grafik_Kosten!$C$36:$Q$36</c:f>
              <c:numCache>
                <c:formatCode>0</c:formatCode>
                <c:ptCount val="15"/>
                <c:pt idx="0">
                  <c:v>1</c:v>
                </c:pt>
                <c:pt idx="1">
                  <c:v>5</c:v>
                </c:pt>
                <c:pt idx="2">
                  <c:v>10</c:v>
                </c:pt>
                <c:pt idx="3">
                  <c:v>20</c:v>
                </c:pt>
                <c:pt idx="4">
                  <c:v>30</c:v>
                </c:pt>
                <c:pt idx="5">
                  <c:v>40</c:v>
                </c:pt>
                <c:pt idx="6">
                  <c:v>50</c:v>
                </c:pt>
                <c:pt idx="7">
                  <c:v>60</c:v>
                </c:pt>
                <c:pt idx="8">
                  <c:v>70</c:v>
                </c:pt>
                <c:pt idx="9">
                  <c:v>80</c:v>
                </c:pt>
                <c:pt idx="10">
                  <c:v>90</c:v>
                </c:pt>
                <c:pt idx="11">
                  <c:v>100</c:v>
                </c:pt>
                <c:pt idx="12" formatCode="#,##0">
                  <c:v>29.99</c:v>
                </c:pt>
                <c:pt idx="13" formatCode="#,##0">
                  <c:v>30</c:v>
                </c:pt>
                <c:pt idx="14" formatCode="General">
                  <c:v>0</c:v>
                </c:pt>
              </c:numCache>
            </c:numRef>
          </c:xVal>
          <c:yVal>
            <c:numRef>
              <c:f>Grafik_Kosten!$C$37:$Q$37</c:f>
              <c:numCache>
                <c:formatCode>General</c:formatCode>
                <c:ptCount val="15"/>
                <c:pt idx="12" formatCode="0.0000">
                  <c:v>0</c:v>
                </c:pt>
                <c:pt idx="13" formatCode="0.0000">
                  <c:v>0</c:v>
                </c:pt>
                <c:pt idx="14" formatCode="0.0000">
                  <c:v>0</c:v>
                </c:pt>
              </c:numCache>
            </c:numRef>
          </c:yVal>
          <c:smooth val="0"/>
          <c:extLst>
            <c:ext xmlns:c16="http://schemas.microsoft.com/office/drawing/2014/chart" uri="{C3380CC4-5D6E-409C-BE32-E72D297353CC}">
              <c16:uniqueId val="{00000002-2CF8-46CC-9430-A712628A4E8B}"/>
            </c:ext>
          </c:extLst>
        </c:ser>
        <c:ser>
          <c:idx val="1"/>
          <c:order val="1"/>
          <c:tx>
            <c:strRef>
              <c:f>Grafik_Kosten!$B$38</c:f>
              <c:strCache>
                <c:ptCount val="1"/>
              </c:strCache>
            </c:strRef>
          </c:tx>
          <c:spPr>
            <a:ln w="38100">
              <a:solidFill>
                <a:srgbClr val="0000FF"/>
              </a:solidFill>
              <a:prstDash val="solid"/>
            </a:ln>
          </c:spPr>
          <c:marker>
            <c:symbol val="diamond"/>
            <c:size val="5"/>
            <c:spPr>
              <a:solidFill>
                <a:srgbClr val="FFFF00"/>
              </a:solidFill>
              <a:ln w="12700">
                <a:solidFill>
                  <a:srgbClr val="0000FF"/>
                </a:solidFill>
              </a:ln>
            </c:spPr>
          </c:marker>
          <c:dLbls>
            <c:dLbl>
              <c:idx val="11"/>
              <c:numFmt formatCode="#,##0.0000" sourceLinked="0"/>
              <c:spPr>
                <a:solidFill>
                  <a:srgbClr val="CCFFFF"/>
                </a:solidFill>
                <a:ln w="3175">
                  <a:solidFill>
                    <a:srgbClr val="0000FF"/>
                  </a:solidFill>
                </a:ln>
              </c:spPr>
              <c:txPr>
                <a:bodyPr rot="-5400000" vert="horz"/>
                <a:lstStyle/>
                <a:p>
                  <a:pPr algn="ctr">
                    <a:defRPr sz="1100" b="0" i="0" u="none" strike="noStrike" baseline="0">
                      <a:solidFill>
                        <a:srgbClr val="000000"/>
                      </a:solidFill>
                      <a:latin typeface="Arial"/>
                      <a:ea typeface="Arial"/>
                      <a:cs typeface="Arial"/>
                    </a:defRPr>
                  </a:pPr>
                  <a:endParaRPr lang="de-DE"/>
                </a:p>
              </c:txPr>
              <c:dLblPos val="t"/>
              <c:showLegendKey val="0"/>
              <c:showVal val="1"/>
              <c:showCatName val="0"/>
              <c:showSerName val="0"/>
              <c:showPercent val="0"/>
              <c:showBubbleSize val="0"/>
              <c:extLst>
                <c:ext xmlns:c16="http://schemas.microsoft.com/office/drawing/2014/chart" uri="{C3380CC4-5D6E-409C-BE32-E72D297353CC}">
                  <c16:uniqueId val="{00000002-C349-4B8B-B7B9-5B0B3A34BA27}"/>
                </c:ext>
              </c:extLst>
            </c:dLbl>
            <c:numFmt formatCode="#,##0.0000" sourceLinked="0"/>
            <c:spPr>
              <a:solidFill>
                <a:schemeClr val="bg1"/>
              </a:solidFill>
              <a:ln w="3175">
                <a:solidFill>
                  <a:srgbClr val="0000FF"/>
                </a:solidFill>
              </a:ln>
            </c:spPr>
            <c:txPr>
              <a:bodyPr rot="-5400000" vert="horz"/>
              <a:lstStyle/>
              <a:p>
                <a:pPr algn="ctr">
                  <a:defRPr sz="1100" b="0" i="0" u="none" strike="noStrike" baseline="0">
                    <a:solidFill>
                      <a:srgbClr val="000000"/>
                    </a:solidFill>
                    <a:latin typeface="Arial"/>
                    <a:ea typeface="Arial"/>
                    <a:cs typeface="Aria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xVal>
            <c:numRef>
              <c:f>Grafik_Kosten!$C$36:$Q$36</c:f>
              <c:numCache>
                <c:formatCode>0</c:formatCode>
                <c:ptCount val="15"/>
                <c:pt idx="0">
                  <c:v>1</c:v>
                </c:pt>
                <c:pt idx="1">
                  <c:v>5</c:v>
                </c:pt>
                <c:pt idx="2">
                  <c:v>10</c:v>
                </c:pt>
                <c:pt idx="3">
                  <c:v>20</c:v>
                </c:pt>
                <c:pt idx="4">
                  <c:v>30</c:v>
                </c:pt>
                <c:pt idx="5">
                  <c:v>40</c:v>
                </c:pt>
                <c:pt idx="6">
                  <c:v>50</c:v>
                </c:pt>
                <c:pt idx="7">
                  <c:v>60</c:v>
                </c:pt>
                <c:pt idx="8">
                  <c:v>70</c:v>
                </c:pt>
                <c:pt idx="9">
                  <c:v>80</c:v>
                </c:pt>
                <c:pt idx="10">
                  <c:v>90</c:v>
                </c:pt>
                <c:pt idx="11">
                  <c:v>100</c:v>
                </c:pt>
                <c:pt idx="12" formatCode="#,##0">
                  <c:v>29.99</c:v>
                </c:pt>
                <c:pt idx="13" formatCode="#,##0">
                  <c:v>30</c:v>
                </c:pt>
                <c:pt idx="14" formatCode="General">
                  <c:v>0</c:v>
                </c:pt>
              </c:numCache>
            </c:numRef>
          </c:xVal>
          <c:yVal>
            <c:numRef>
              <c:f>Grafik_Kosten!$C$38:$Q$38</c:f>
              <c:numCache>
                <c:formatCode>0.0000</c:formatCode>
                <c:ptCount val="15"/>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4-2CF8-46CC-9430-A712628A4E8B}"/>
            </c:ext>
          </c:extLst>
        </c:ser>
        <c:dLbls>
          <c:showLegendKey val="0"/>
          <c:showVal val="0"/>
          <c:showCatName val="0"/>
          <c:showSerName val="0"/>
          <c:showPercent val="0"/>
          <c:showBubbleSize val="0"/>
        </c:dLbls>
        <c:axId val="104355328"/>
        <c:axId val="104356864"/>
      </c:scatterChart>
      <c:valAx>
        <c:axId val="104355328"/>
        <c:scaling>
          <c:orientation val="minMax"/>
          <c:max val="100"/>
          <c:min val="0"/>
        </c:scaling>
        <c:delete val="0"/>
        <c:axPos val="b"/>
        <c:numFmt formatCode="0" sourceLinked="1"/>
        <c:majorTickMark val="cross"/>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04356864"/>
        <c:crosses val="autoZero"/>
        <c:crossBetween val="midCat"/>
        <c:majorUnit val="10"/>
      </c:valAx>
      <c:valAx>
        <c:axId val="104356864"/>
        <c:scaling>
          <c:orientation val="minMax"/>
          <c:max val="0.5"/>
          <c:min val="-0.30000000000000004"/>
        </c:scaling>
        <c:delete val="0"/>
        <c:axPos val="l"/>
        <c:majorGridlines>
          <c:spPr>
            <a:ln w="3175">
              <a:solidFill>
                <a:srgbClr val="969696"/>
              </a:solidFill>
              <a:prstDash val="dash"/>
            </a:ln>
          </c:spPr>
        </c:majorGridlines>
        <c:numFmt formatCode="#,##0.00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de-DE"/>
          </a:p>
        </c:txPr>
        <c:crossAx val="104355328"/>
        <c:crosses val="autoZero"/>
        <c:crossBetween val="midCat"/>
        <c:majorUnit val="0.1"/>
      </c:valAx>
      <c:spPr>
        <a:noFill/>
        <a:ln w="25400">
          <a:noFill/>
        </a:ln>
      </c:spPr>
    </c:plotArea>
    <c:plotVisOnly val="1"/>
    <c:dispBlanksAs val="gap"/>
    <c:showDLblsOverMax val="0"/>
  </c:chart>
  <c:spPr>
    <a:noFill/>
    <a:ln w="3175">
      <a:no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360" verticalDpi="36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2044222889405"/>
          <c:y val="8.1596675415573056E-2"/>
          <c:w val="0.86137068298117414"/>
          <c:h val="0.73770243997278118"/>
        </c:manualLayout>
      </c:layout>
      <c:barChart>
        <c:barDir val="col"/>
        <c:grouping val="clustered"/>
        <c:varyColors val="0"/>
        <c:ser>
          <c:idx val="0"/>
          <c:order val="0"/>
          <c:spPr>
            <a:solidFill>
              <a:srgbClr val="66CCFF"/>
            </a:solidFill>
            <a:ln w="28575">
              <a:noFill/>
            </a:ln>
          </c:spPr>
          <c:invertIfNegative val="0"/>
          <c:val>
            <c:numRef>
              <c:f>Grafik_Ertrag!$H$10:$H$21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6D4-49F9-A840-1E7599DBAAD1}"/>
            </c:ext>
          </c:extLst>
        </c:ser>
        <c:dLbls>
          <c:showLegendKey val="0"/>
          <c:showVal val="0"/>
          <c:showCatName val="0"/>
          <c:showSerName val="0"/>
          <c:showPercent val="0"/>
          <c:showBubbleSize val="0"/>
        </c:dLbls>
        <c:gapWidth val="50"/>
        <c:axId val="109920256"/>
        <c:axId val="109921792"/>
      </c:barChart>
      <c:stockChart>
        <c:ser>
          <c:idx val="1"/>
          <c:order val="1"/>
          <c:spPr>
            <a:ln w="3175">
              <a:solidFill>
                <a:srgbClr val="FF0000"/>
              </a:solidFill>
              <a:prstDash val="dash"/>
            </a:ln>
          </c:spPr>
          <c:marker>
            <c:symbol val="dash"/>
            <c:size val="10"/>
            <c:spPr>
              <a:solidFill>
                <a:srgbClr val="FF0000"/>
              </a:solidFill>
              <a:ln>
                <a:solidFill>
                  <a:srgbClr val="800000"/>
                </a:solidFill>
              </a:ln>
            </c:spPr>
          </c:marker>
          <c:val>
            <c:numRef>
              <c:f>Grafik_Ertrag!$I$10:$I$21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6D4-49F9-A840-1E7599DBAAD1}"/>
            </c:ext>
          </c:extLst>
        </c:ser>
        <c:ser>
          <c:idx val="2"/>
          <c:order val="2"/>
          <c:spPr>
            <a:ln w="3175">
              <a:solidFill>
                <a:srgbClr val="008000"/>
              </a:solidFill>
              <a:prstDash val="dash"/>
            </a:ln>
          </c:spPr>
          <c:marker>
            <c:symbol val="dash"/>
            <c:size val="10"/>
            <c:spPr>
              <a:solidFill>
                <a:srgbClr val="00FF00"/>
              </a:solidFill>
              <a:ln>
                <a:solidFill>
                  <a:srgbClr val="008000"/>
                </a:solidFill>
              </a:ln>
            </c:spPr>
          </c:marker>
          <c:val>
            <c:numRef>
              <c:f>Grafik_Ertrag!$J$10:$J$21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6D4-49F9-A840-1E7599DBAAD1}"/>
            </c:ext>
          </c:extLst>
        </c:ser>
        <c:ser>
          <c:idx val="3"/>
          <c:order val="3"/>
          <c:spPr>
            <a:ln w="3175">
              <a:solidFill>
                <a:srgbClr val="0000FF"/>
              </a:solidFill>
              <a:prstDash val="dash"/>
            </a:ln>
          </c:spPr>
          <c:marker>
            <c:symbol val="circle"/>
            <c:size val="8"/>
            <c:spPr>
              <a:solidFill>
                <a:srgbClr val="FFFF00"/>
              </a:solidFill>
              <a:ln w="25400">
                <a:solidFill>
                  <a:srgbClr val="0000FF"/>
                </a:solidFill>
              </a:ln>
            </c:spPr>
          </c:marker>
          <c:val>
            <c:numRef>
              <c:f>Grafik_Ertrag!$K$10:$K$21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B6D4-49F9-A840-1E7599DBAAD1}"/>
            </c:ext>
          </c:extLst>
        </c:ser>
        <c:dLbls>
          <c:showLegendKey val="0"/>
          <c:showVal val="0"/>
          <c:showCatName val="0"/>
          <c:showSerName val="0"/>
          <c:showPercent val="0"/>
          <c:showBubbleSize val="0"/>
        </c:dLbls>
        <c:hiLowLines/>
        <c:axId val="109923328"/>
        <c:axId val="109929216"/>
      </c:stockChart>
      <c:catAx>
        <c:axId val="109920256"/>
        <c:scaling>
          <c:orientation val="minMax"/>
        </c:scaling>
        <c:delete val="0"/>
        <c:axPos val="b"/>
        <c:majorTickMark val="none"/>
        <c:minorTickMark val="none"/>
        <c:tickLblPos val="none"/>
        <c:crossAx val="109921792"/>
        <c:crosses val="autoZero"/>
        <c:auto val="1"/>
        <c:lblAlgn val="ctr"/>
        <c:lblOffset val="100"/>
        <c:noMultiLvlLbl val="0"/>
      </c:catAx>
      <c:valAx>
        <c:axId val="109921792"/>
        <c:scaling>
          <c:orientation val="minMax"/>
          <c:max val="9"/>
          <c:min val="0"/>
        </c:scaling>
        <c:delete val="0"/>
        <c:axPos val="l"/>
        <c:majorGridlines>
          <c:spPr>
            <a:ln>
              <a:prstDash val="dash"/>
            </a:ln>
          </c:spPr>
        </c:majorGridlines>
        <c:numFmt formatCode="#,##0.00" sourceLinked="1"/>
        <c:majorTickMark val="out"/>
        <c:minorTickMark val="none"/>
        <c:tickLblPos val="none"/>
        <c:crossAx val="109920256"/>
        <c:crosses val="autoZero"/>
        <c:crossBetween val="between"/>
        <c:majorUnit val="1"/>
      </c:valAx>
      <c:catAx>
        <c:axId val="109923328"/>
        <c:scaling>
          <c:orientation val="minMax"/>
        </c:scaling>
        <c:delete val="1"/>
        <c:axPos val="b"/>
        <c:majorTickMark val="out"/>
        <c:minorTickMark val="none"/>
        <c:tickLblPos val="nextTo"/>
        <c:crossAx val="109929216"/>
        <c:crosses val="autoZero"/>
        <c:auto val="1"/>
        <c:lblAlgn val="ctr"/>
        <c:lblOffset val="100"/>
        <c:noMultiLvlLbl val="0"/>
      </c:catAx>
      <c:valAx>
        <c:axId val="109929216"/>
        <c:scaling>
          <c:orientation val="minMax"/>
          <c:max val="9"/>
          <c:min val="0"/>
        </c:scaling>
        <c:delete val="0"/>
        <c:axPos val="r"/>
        <c:numFmt formatCode="#,##0.00" sourceLinked="1"/>
        <c:majorTickMark val="none"/>
        <c:minorTickMark val="none"/>
        <c:tickLblPos val="none"/>
        <c:crossAx val="109923328"/>
        <c:crosses val="max"/>
        <c:crossBetween val="between"/>
        <c:majorUnit val="1"/>
      </c:valAx>
      <c:spPr>
        <a:gradFill flip="none" rotWithShape="1">
          <a:gsLst>
            <a:gs pos="0">
              <a:srgbClr val="FFFF00"/>
            </a:gs>
            <a:gs pos="100000">
              <a:schemeClr val="bg1"/>
            </a:gs>
          </a:gsLst>
          <a:lin ang="2700000" scaled="1"/>
          <a:tileRect/>
        </a:gradFill>
        <a:ln>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93148150756647"/>
          <c:y val="0.14314238601215737"/>
          <c:w val="0.71399621558933035"/>
          <c:h val="0.65376459912771123"/>
        </c:manualLayout>
      </c:layout>
      <c:scatterChart>
        <c:scatterStyle val="lineMarker"/>
        <c:varyColors val="0"/>
        <c:ser>
          <c:idx val="0"/>
          <c:order val="0"/>
          <c:tx>
            <c:strRef>
              <c:f>Grafik_Kosten!$B$37</c:f>
              <c:strCache>
                <c:ptCount val="1"/>
              </c:strCache>
            </c:strRef>
          </c:tx>
          <c:spPr>
            <a:ln w="25400">
              <a:solidFill>
                <a:srgbClr val="FF0000"/>
              </a:solidFill>
              <a:prstDash val="sysDash"/>
            </a:ln>
          </c:spPr>
          <c:marker>
            <c:symbol val="none"/>
          </c:marker>
          <c:dPt>
            <c:idx val="12"/>
            <c:bubble3D val="0"/>
            <c:extLst>
              <c:ext xmlns:c16="http://schemas.microsoft.com/office/drawing/2014/chart" uri="{C3380CC4-5D6E-409C-BE32-E72D297353CC}">
                <c16:uniqueId val="{00000000-D333-4C8F-B18C-33E270348B06}"/>
              </c:ext>
            </c:extLst>
          </c:dPt>
          <c:dPt>
            <c:idx val="13"/>
            <c:marker>
              <c:symbol val="circle"/>
              <c:size val="10"/>
              <c:spPr>
                <a:solidFill>
                  <a:srgbClr val="FFFF00"/>
                </a:solidFill>
                <a:ln w="38100">
                  <a:solidFill>
                    <a:srgbClr val="0000FF"/>
                  </a:solidFill>
                </a:ln>
              </c:spPr>
            </c:marker>
            <c:bubble3D val="0"/>
            <c:extLst>
              <c:ext xmlns:c16="http://schemas.microsoft.com/office/drawing/2014/chart" uri="{C3380CC4-5D6E-409C-BE32-E72D297353CC}">
                <c16:uniqueId val="{00000001-D333-4C8F-B18C-33E270348B06}"/>
              </c:ext>
            </c:extLst>
          </c:dPt>
          <c:xVal>
            <c:numRef>
              <c:f>Grafik_Kosten!$C$36:$Q$36</c:f>
              <c:numCache>
                <c:formatCode>0</c:formatCode>
                <c:ptCount val="15"/>
                <c:pt idx="0">
                  <c:v>1</c:v>
                </c:pt>
                <c:pt idx="1">
                  <c:v>5</c:v>
                </c:pt>
                <c:pt idx="2">
                  <c:v>10</c:v>
                </c:pt>
                <c:pt idx="3">
                  <c:v>20</c:v>
                </c:pt>
                <c:pt idx="4">
                  <c:v>30</c:v>
                </c:pt>
                <c:pt idx="5">
                  <c:v>40</c:v>
                </c:pt>
                <c:pt idx="6">
                  <c:v>50</c:v>
                </c:pt>
                <c:pt idx="7">
                  <c:v>60</c:v>
                </c:pt>
                <c:pt idx="8">
                  <c:v>70</c:v>
                </c:pt>
                <c:pt idx="9">
                  <c:v>80</c:v>
                </c:pt>
                <c:pt idx="10">
                  <c:v>90</c:v>
                </c:pt>
                <c:pt idx="11">
                  <c:v>100</c:v>
                </c:pt>
                <c:pt idx="12" formatCode="#,##0">
                  <c:v>29.99</c:v>
                </c:pt>
                <c:pt idx="13" formatCode="#,##0">
                  <c:v>30</c:v>
                </c:pt>
                <c:pt idx="14" formatCode="General">
                  <c:v>0</c:v>
                </c:pt>
              </c:numCache>
            </c:numRef>
          </c:xVal>
          <c:yVal>
            <c:numRef>
              <c:f>Grafik_Kosten!$C$37:$Q$37</c:f>
              <c:numCache>
                <c:formatCode>General</c:formatCode>
                <c:ptCount val="15"/>
                <c:pt idx="12" formatCode="0.0000">
                  <c:v>0</c:v>
                </c:pt>
                <c:pt idx="13" formatCode="0.0000">
                  <c:v>0</c:v>
                </c:pt>
                <c:pt idx="14" formatCode="0.0000">
                  <c:v>0</c:v>
                </c:pt>
              </c:numCache>
            </c:numRef>
          </c:yVal>
          <c:smooth val="0"/>
          <c:extLst>
            <c:ext xmlns:c16="http://schemas.microsoft.com/office/drawing/2014/chart" uri="{C3380CC4-5D6E-409C-BE32-E72D297353CC}">
              <c16:uniqueId val="{00000002-D333-4C8F-B18C-33E270348B06}"/>
            </c:ext>
          </c:extLst>
        </c:ser>
        <c:ser>
          <c:idx val="1"/>
          <c:order val="1"/>
          <c:tx>
            <c:strRef>
              <c:f>Grafik_Kosten!$B$38</c:f>
              <c:strCache>
                <c:ptCount val="1"/>
              </c:strCache>
            </c:strRef>
          </c:tx>
          <c:spPr>
            <a:ln w="38100">
              <a:solidFill>
                <a:srgbClr val="0000FF"/>
              </a:solidFill>
              <a:prstDash val="solid"/>
            </a:ln>
          </c:spPr>
          <c:marker>
            <c:symbol val="diamond"/>
            <c:size val="5"/>
            <c:spPr>
              <a:solidFill>
                <a:srgbClr val="FFFF00"/>
              </a:solidFill>
              <a:ln w="12700">
                <a:solidFill>
                  <a:srgbClr val="0000FF"/>
                </a:solidFill>
              </a:ln>
            </c:spPr>
          </c:marker>
          <c:dLbls>
            <c:dLbl>
              <c:idx val="11"/>
              <c:numFmt formatCode="#,##0.0000" sourceLinked="0"/>
              <c:spPr>
                <a:solidFill>
                  <a:schemeClr val="bg1"/>
                </a:solidFill>
                <a:ln w="3175">
                  <a:solidFill>
                    <a:srgbClr val="0000FF"/>
                  </a:solidFill>
                </a:ln>
              </c:spPr>
              <c:txPr>
                <a:bodyPr rot="-5400000" vert="horz"/>
                <a:lstStyle/>
                <a:p>
                  <a:pPr algn="ctr">
                    <a:defRPr sz="1100" b="1" i="1" u="none" strike="noStrike" baseline="0">
                      <a:solidFill>
                        <a:srgbClr val="000000"/>
                      </a:solidFill>
                      <a:latin typeface="Arial"/>
                      <a:ea typeface="Arial"/>
                      <a:cs typeface="Arial"/>
                    </a:defRPr>
                  </a:pPr>
                  <a:endParaRPr lang="de-DE"/>
                </a:p>
              </c:txPr>
              <c:dLblPos val="t"/>
              <c:showLegendKey val="0"/>
              <c:showVal val="1"/>
              <c:showCatName val="0"/>
              <c:showSerName val="0"/>
              <c:showPercent val="0"/>
              <c:showBubbleSize val="0"/>
              <c:extLst>
                <c:ext xmlns:c16="http://schemas.microsoft.com/office/drawing/2014/chart" uri="{C3380CC4-5D6E-409C-BE32-E72D297353CC}">
                  <c16:uniqueId val="{00000002-920C-4A89-B6BC-01C906CD7799}"/>
                </c:ext>
              </c:extLst>
            </c:dLbl>
            <c:numFmt formatCode="#,##0.0000" sourceLinked="0"/>
            <c:spPr>
              <a:solidFill>
                <a:schemeClr val="bg1"/>
              </a:solidFill>
              <a:ln w="3175">
                <a:solidFill>
                  <a:srgbClr val="0000FF"/>
                </a:solidFill>
              </a:ln>
            </c:spPr>
            <c:txPr>
              <a:bodyPr rot="-5400000" vert="horz"/>
              <a:lstStyle/>
              <a:p>
                <a:pPr algn="ctr">
                  <a:defRPr sz="1100" b="0" i="0" u="none" strike="noStrike" baseline="0">
                    <a:solidFill>
                      <a:srgbClr val="000000"/>
                    </a:solidFill>
                    <a:latin typeface="Arial"/>
                    <a:ea typeface="Arial"/>
                    <a:cs typeface="Aria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Grafik_Kosten!$C$36:$Q$36</c:f>
              <c:numCache>
                <c:formatCode>0</c:formatCode>
                <c:ptCount val="15"/>
                <c:pt idx="0">
                  <c:v>1</c:v>
                </c:pt>
                <c:pt idx="1">
                  <c:v>5</c:v>
                </c:pt>
                <c:pt idx="2">
                  <c:v>10</c:v>
                </c:pt>
                <c:pt idx="3">
                  <c:v>20</c:v>
                </c:pt>
                <c:pt idx="4">
                  <c:v>30</c:v>
                </c:pt>
                <c:pt idx="5">
                  <c:v>40</c:v>
                </c:pt>
                <c:pt idx="6">
                  <c:v>50</c:v>
                </c:pt>
                <c:pt idx="7">
                  <c:v>60</c:v>
                </c:pt>
                <c:pt idx="8">
                  <c:v>70</c:v>
                </c:pt>
                <c:pt idx="9">
                  <c:v>80</c:v>
                </c:pt>
                <c:pt idx="10">
                  <c:v>90</c:v>
                </c:pt>
                <c:pt idx="11">
                  <c:v>100</c:v>
                </c:pt>
                <c:pt idx="12" formatCode="#,##0">
                  <c:v>29.99</c:v>
                </c:pt>
                <c:pt idx="13" formatCode="#,##0">
                  <c:v>30</c:v>
                </c:pt>
                <c:pt idx="14" formatCode="General">
                  <c:v>0</c:v>
                </c:pt>
              </c:numCache>
            </c:numRef>
          </c:xVal>
          <c:yVal>
            <c:numRef>
              <c:f>Grafik_Kosten!$C$38:$Q$38</c:f>
              <c:numCache>
                <c:formatCode>0.0000</c:formatCode>
                <c:ptCount val="15"/>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4-D333-4C8F-B18C-33E270348B06}"/>
            </c:ext>
          </c:extLst>
        </c:ser>
        <c:dLbls>
          <c:showLegendKey val="0"/>
          <c:showVal val="0"/>
          <c:showCatName val="0"/>
          <c:showSerName val="0"/>
          <c:showPercent val="0"/>
          <c:showBubbleSize val="0"/>
        </c:dLbls>
        <c:axId val="110252032"/>
        <c:axId val="110253568"/>
      </c:scatterChart>
      <c:valAx>
        <c:axId val="110252032"/>
        <c:scaling>
          <c:orientation val="minMax"/>
          <c:max val="100"/>
          <c:min val="0"/>
        </c:scaling>
        <c:delete val="0"/>
        <c:axPos val="b"/>
        <c:numFmt formatCode="0" sourceLinked="1"/>
        <c:majorTickMark val="cross"/>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10253568"/>
        <c:crosses val="autoZero"/>
        <c:crossBetween val="midCat"/>
        <c:majorUnit val="10"/>
      </c:valAx>
      <c:valAx>
        <c:axId val="110253568"/>
        <c:scaling>
          <c:orientation val="minMax"/>
          <c:max val="0.5"/>
          <c:min val="-0.30000000000000004"/>
        </c:scaling>
        <c:delete val="0"/>
        <c:axPos val="l"/>
        <c:majorGridlines>
          <c:spPr>
            <a:ln w="3175">
              <a:solidFill>
                <a:srgbClr val="969696"/>
              </a:solidFill>
              <a:prstDash val="dash"/>
            </a:ln>
          </c:spPr>
        </c:majorGridlines>
        <c:numFmt formatCode="#,##0.00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de-DE"/>
          </a:p>
        </c:txPr>
        <c:crossAx val="110252032"/>
        <c:crosses val="autoZero"/>
        <c:crossBetween val="midCat"/>
        <c:majorUnit val="0.1"/>
      </c:valAx>
      <c:spPr>
        <a:noFill/>
        <a:ln w="25400">
          <a:noFill/>
        </a:ln>
      </c:spPr>
    </c:plotArea>
    <c:plotVisOnly val="1"/>
    <c:dispBlanksAs val="gap"/>
    <c:showDLblsOverMax val="0"/>
  </c:chart>
  <c:spPr>
    <a:noFill/>
    <a:ln w="3175">
      <a:no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360" verticalDpi="36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9544603433837"/>
          <c:y val="0.13164556962025317"/>
          <c:w val="0.80057202794478932"/>
          <c:h val="0.73417721518987344"/>
        </c:manualLayout>
      </c:layout>
      <c:barChart>
        <c:barDir val="col"/>
        <c:grouping val="clustered"/>
        <c:varyColors val="0"/>
        <c:ser>
          <c:idx val="2"/>
          <c:order val="2"/>
          <c:spPr>
            <a:solidFill>
              <a:srgbClr val="FFFFCC"/>
            </a:solidFill>
            <a:ln w="12700">
              <a:solidFill>
                <a:srgbClr val="000000"/>
              </a:solidFill>
              <a:prstDash val="solid"/>
            </a:ln>
          </c:spPr>
          <c:invertIfNegative val="0"/>
          <c:cat>
            <c:strRef>
              <c:f>Einstrahlung!$C$10:$C$32</c:f>
              <c:strCache>
                <c:ptCount val="23"/>
                <c:pt idx="0">
                  <c:v>Jan</c:v>
                </c:pt>
                <c:pt idx="2">
                  <c:v>Feb</c:v>
                </c:pt>
                <c:pt idx="4">
                  <c:v>Mär</c:v>
                </c:pt>
                <c:pt idx="6">
                  <c:v>Apr</c:v>
                </c:pt>
                <c:pt idx="8">
                  <c:v>Mai</c:v>
                </c:pt>
                <c:pt idx="10">
                  <c:v>Jun</c:v>
                </c:pt>
                <c:pt idx="12">
                  <c:v>Jul</c:v>
                </c:pt>
                <c:pt idx="14">
                  <c:v>Aug</c:v>
                </c:pt>
                <c:pt idx="16">
                  <c:v>Sep</c:v>
                </c:pt>
                <c:pt idx="18">
                  <c:v>Okt</c:v>
                </c:pt>
                <c:pt idx="20">
                  <c:v>Nov</c:v>
                </c:pt>
                <c:pt idx="22">
                  <c:v>Dez</c:v>
                </c:pt>
              </c:strCache>
            </c:strRef>
          </c:cat>
          <c:val>
            <c:numRef>
              <c:f>Einstrahlung!$F$10:$F$32</c:f>
              <c:numCache>
                <c:formatCode>#,##0.000</c:formatCode>
                <c:ptCount val="23"/>
                <c:pt idx="0">
                  <c:v>0.91300000000000003</c:v>
                </c:pt>
                <c:pt idx="2">
                  <c:v>1.6439999999999999</c:v>
                </c:pt>
                <c:pt idx="4">
                  <c:v>2.5680000000000001</c:v>
                </c:pt>
                <c:pt idx="6">
                  <c:v>3.9079999999999999</c:v>
                </c:pt>
                <c:pt idx="8">
                  <c:v>4.9349999999999996</c:v>
                </c:pt>
                <c:pt idx="10">
                  <c:v>5.2549999999999999</c:v>
                </c:pt>
                <c:pt idx="12">
                  <c:v>5.375</c:v>
                </c:pt>
                <c:pt idx="14">
                  <c:v>4.6879999999999997</c:v>
                </c:pt>
                <c:pt idx="16">
                  <c:v>3.286</c:v>
                </c:pt>
                <c:pt idx="18">
                  <c:v>1.9079999999999999</c:v>
                </c:pt>
                <c:pt idx="20">
                  <c:v>1.0740000000000001</c:v>
                </c:pt>
                <c:pt idx="22">
                  <c:v>0.69399999999999995</c:v>
                </c:pt>
              </c:numCache>
            </c:numRef>
          </c:val>
          <c:extLst>
            <c:ext xmlns:c16="http://schemas.microsoft.com/office/drawing/2014/chart" uri="{C3380CC4-5D6E-409C-BE32-E72D297353CC}">
              <c16:uniqueId val="{00000000-5135-45AD-BAAE-A892F8B32B27}"/>
            </c:ext>
          </c:extLst>
        </c:ser>
        <c:dLbls>
          <c:showLegendKey val="0"/>
          <c:showVal val="0"/>
          <c:showCatName val="0"/>
          <c:showSerName val="0"/>
          <c:showPercent val="0"/>
          <c:showBubbleSize val="0"/>
        </c:dLbls>
        <c:gapWidth val="20"/>
        <c:axId val="108929408"/>
        <c:axId val="108931328"/>
      </c:barChar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Einstrahlung!$C$10:$C$32</c:f>
              <c:strCache>
                <c:ptCount val="23"/>
                <c:pt idx="0">
                  <c:v>Jan</c:v>
                </c:pt>
                <c:pt idx="2">
                  <c:v>Feb</c:v>
                </c:pt>
                <c:pt idx="4">
                  <c:v>Mär</c:v>
                </c:pt>
                <c:pt idx="6">
                  <c:v>Apr</c:v>
                </c:pt>
                <c:pt idx="8">
                  <c:v>Mai</c:v>
                </c:pt>
                <c:pt idx="10">
                  <c:v>Jun</c:v>
                </c:pt>
                <c:pt idx="12">
                  <c:v>Jul</c:v>
                </c:pt>
                <c:pt idx="14">
                  <c:v>Aug</c:v>
                </c:pt>
                <c:pt idx="16">
                  <c:v>Sep</c:v>
                </c:pt>
                <c:pt idx="18">
                  <c:v>Okt</c:v>
                </c:pt>
                <c:pt idx="20">
                  <c:v>Nov</c:v>
                </c:pt>
                <c:pt idx="22">
                  <c:v>Dez</c:v>
                </c:pt>
              </c:strCache>
            </c:strRef>
          </c:cat>
          <c:val>
            <c:numRef>
              <c:f>Einstrahlung!$D$10:$D$32</c:f>
              <c:numCache>
                <c:formatCode>General</c:formatCode>
                <c:ptCount val="23"/>
              </c:numCache>
            </c:numRef>
          </c:val>
          <c:smooth val="0"/>
          <c:extLst>
            <c:ext xmlns:c16="http://schemas.microsoft.com/office/drawing/2014/chart" uri="{C3380CC4-5D6E-409C-BE32-E72D297353CC}">
              <c16:uniqueId val="{00000001-5135-45AD-BAAE-A892F8B32B27}"/>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Einstrahlung!$C$10:$C$32</c:f>
              <c:strCache>
                <c:ptCount val="23"/>
                <c:pt idx="0">
                  <c:v>Jan</c:v>
                </c:pt>
                <c:pt idx="2">
                  <c:v>Feb</c:v>
                </c:pt>
                <c:pt idx="4">
                  <c:v>Mär</c:v>
                </c:pt>
                <c:pt idx="6">
                  <c:v>Apr</c:v>
                </c:pt>
                <c:pt idx="8">
                  <c:v>Mai</c:v>
                </c:pt>
                <c:pt idx="10">
                  <c:v>Jun</c:v>
                </c:pt>
                <c:pt idx="12">
                  <c:v>Jul</c:v>
                </c:pt>
                <c:pt idx="14">
                  <c:v>Aug</c:v>
                </c:pt>
                <c:pt idx="16">
                  <c:v>Sep</c:v>
                </c:pt>
                <c:pt idx="18">
                  <c:v>Okt</c:v>
                </c:pt>
                <c:pt idx="20">
                  <c:v>Nov</c:v>
                </c:pt>
                <c:pt idx="22">
                  <c:v>Dez</c:v>
                </c:pt>
              </c:strCache>
            </c:strRef>
          </c:cat>
          <c:val>
            <c:numRef>
              <c:f>Einstrahlung!$E$10:$E$32</c:f>
              <c:numCache>
                <c:formatCode>General</c:formatCode>
                <c:ptCount val="23"/>
              </c:numCache>
            </c:numRef>
          </c:val>
          <c:smooth val="0"/>
          <c:extLst>
            <c:ext xmlns:c16="http://schemas.microsoft.com/office/drawing/2014/chart" uri="{C3380CC4-5D6E-409C-BE32-E72D297353CC}">
              <c16:uniqueId val="{00000002-5135-45AD-BAAE-A892F8B32B27}"/>
            </c:ext>
          </c:extLst>
        </c:ser>
        <c:ser>
          <c:idx val="3"/>
          <c:order val="3"/>
          <c:spPr>
            <a:ln w="12700">
              <a:solidFill>
                <a:srgbClr val="00FFFF"/>
              </a:solidFill>
              <a:prstDash val="solid"/>
            </a:ln>
          </c:spPr>
          <c:marker>
            <c:symbol val="x"/>
            <c:size val="5"/>
            <c:spPr>
              <a:noFill/>
              <a:ln>
                <a:solidFill>
                  <a:srgbClr val="00FFFF"/>
                </a:solidFill>
                <a:prstDash val="solid"/>
              </a:ln>
            </c:spPr>
          </c:marker>
          <c:cat>
            <c:strRef>
              <c:f>Einstrahlung!$C$10:$C$32</c:f>
              <c:strCache>
                <c:ptCount val="23"/>
                <c:pt idx="0">
                  <c:v>Jan</c:v>
                </c:pt>
                <c:pt idx="2">
                  <c:v>Feb</c:v>
                </c:pt>
                <c:pt idx="4">
                  <c:v>Mär</c:v>
                </c:pt>
                <c:pt idx="6">
                  <c:v>Apr</c:v>
                </c:pt>
                <c:pt idx="8">
                  <c:v>Mai</c:v>
                </c:pt>
                <c:pt idx="10">
                  <c:v>Jun</c:v>
                </c:pt>
                <c:pt idx="12">
                  <c:v>Jul</c:v>
                </c:pt>
                <c:pt idx="14">
                  <c:v>Aug</c:v>
                </c:pt>
                <c:pt idx="16">
                  <c:v>Sep</c:v>
                </c:pt>
                <c:pt idx="18">
                  <c:v>Okt</c:v>
                </c:pt>
                <c:pt idx="20">
                  <c:v>Nov</c:v>
                </c:pt>
                <c:pt idx="22">
                  <c:v>Dez</c:v>
                </c:pt>
              </c:strCache>
            </c:strRef>
          </c:cat>
          <c:val>
            <c:numRef>
              <c:f>Einstrahlung!$G$10:$G$32</c:f>
              <c:numCache>
                <c:formatCode>#,##0.000</c:formatCode>
                <c:ptCount val="23"/>
              </c:numCache>
            </c:numRef>
          </c:val>
          <c:smooth val="0"/>
          <c:extLst>
            <c:ext xmlns:c16="http://schemas.microsoft.com/office/drawing/2014/chart" uri="{C3380CC4-5D6E-409C-BE32-E72D297353CC}">
              <c16:uniqueId val="{00000003-5135-45AD-BAAE-A892F8B32B27}"/>
            </c:ext>
          </c:extLst>
        </c:ser>
        <c:ser>
          <c:idx val="4"/>
          <c:order val="4"/>
          <c:spPr>
            <a:ln w="12700">
              <a:solidFill>
                <a:srgbClr val="800080"/>
              </a:solidFill>
              <a:prstDash val="solid"/>
            </a:ln>
          </c:spPr>
          <c:marker>
            <c:symbol val="star"/>
            <c:size val="5"/>
            <c:spPr>
              <a:noFill/>
              <a:ln>
                <a:solidFill>
                  <a:srgbClr val="800080"/>
                </a:solidFill>
                <a:prstDash val="solid"/>
              </a:ln>
            </c:spPr>
          </c:marker>
          <c:cat>
            <c:strRef>
              <c:f>Einstrahlung!$C$10:$C$32</c:f>
              <c:strCache>
                <c:ptCount val="23"/>
                <c:pt idx="0">
                  <c:v>Jan</c:v>
                </c:pt>
                <c:pt idx="2">
                  <c:v>Feb</c:v>
                </c:pt>
                <c:pt idx="4">
                  <c:v>Mär</c:v>
                </c:pt>
                <c:pt idx="6">
                  <c:v>Apr</c:v>
                </c:pt>
                <c:pt idx="8">
                  <c:v>Mai</c:v>
                </c:pt>
                <c:pt idx="10">
                  <c:v>Jun</c:v>
                </c:pt>
                <c:pt idx="12">
                  <c:v>Jul</c:v>
                </c:pt>
                <c:pt idx="14">
                  <c:v>Aug</c:v>
                </c:pt>
                <c:pt idx="16">
                  <c:v>Sep</c:v>
                </c:pt>
                <c:pt idx="18">
                  <c:v>Okt</c:v>
                </c:pt>
                <c:pt idx="20">
                  <c:v>Nov</c:v>
                </c:pt>
                <c:pt idx="22">
                  <c:v>Dez</c:v>
                </c:pt>
              </c:strCache>
            </c:strRef>
          </c:cat>
          <c:val>
            <c:numRef>
              <c:f>Einstrahlung!$H$10:$H$32</c:f>
              <c:numCache>
                <c:formatCode>#,##0.000</c:formatCode>
                <c:ptCount val="23"/>
              </c:numCache>
            </c:numRef>
          </c:val>
          <c:smooth val="0"/>
          <c:extLst>
            <c:ext xmlns:c16="http://schemas.microsoft.com/office/drawing/2014/chart" uri="{C3380CC4-5D6E-409C-BE32-E72D297353CC}">
              <c16:uniqueId val="{00000004-5135-45AD-BAAE-A892F8B32B27}"/>
            </c:ext>
          </c:extLst>
        </c:ser>
        <c:dLbls>
          <c:showLegendKey val="0"/>
          <c:showVal val="0"/>
          <c:showCatName val="0"/>
          <c:showSerName val="0"/>
          <c:showPercent val="0"/>
          <c:showBubbleSize val="0"/>
        </c:dLbls>
        <c:marker val="1"/>
        <c:smooth val="0"/>
        <c:axId val="108929408"/>
        <c:axId val="108931328"/>
      </c:lineChart>
      <c:catAx>
        <c:axId val="108929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25" b="0" i="0" u="none" strike="noStrike" baseline="0">
                <a:solidFill>
                  <a:srgbClr val="000000"/>
                </a:solidFill>
                <a:latin typeface="Times New Roman"/>
                <a:ea typeface="Times New Roman"/>
                <a:cs typeface="Times New Roman"/>
              </a:defRPr>
            </a:pPr>
            <a:endParaRPr lang="de-DE"/>
          </a:p>
        </c:txPr>
        <c:crossAx val="108931328"/>
        <c:crosses val="autoZero"/>
        <c:auto val="1"/>
        <c:lblAlgn val="ctr"/>
        <c:lblOffset val="100"/>
        <c:tickLblSkip val="2"/>
        <c:tickMarkSkip val="1"/>
        <c:noMultiLvlLbl val="0"/>
      </c:catAx>
      <c:valAx>
        <c:axId val="108931328"/>
        <c:scaling>
          <c:orientation val="minMax"/>
        </c:scaling>
        <c:delete val="0"/>
        <c:axPos val="l"/>
        <c:majorGridlines>
          <c:spPr>
            <a:ln w="3175">
              <a:solidFill>
                <a:srgbClr val="000000"/>
              </a:solidFill>
              <a:prstDash val="solid"/>
            </a:ln>
          </c:spPr>
        </c:majorGridlines>
        <c:title>
          <c:tx>
            <c:rich>
              <a:bodyPr rot="0" vert="horz"/>
              <a:lstStyle/>
              <a:p>
                <a:pPr algn="l">
                  <a:defRPr sz="925" b="1" i="0" u="none" strike="noStrike" baseline="0">
                    <a:solidFill>
                      <a:srgbClr val="000000"/>
                    </a:solidFill>
                    <a:latin typeface="Times New Roman"/>
                    <a:ea typeface="Times New Roman"/>
                    <a:cs typeface="Times New Roman"/>
                  </a:defRPr>
                </a:pPr>
                <a:r>
                  <a:rPr lang="de-DE"/>
                  <a:t>kWh /
m², Tag</a:t>
                </a:r>
              </a:p>
            </c:rich>
          </c:tx>
          <c:layout>
            <c:manualLayout>
              <c:xMode val="edge"/>
              <c:yMode val="edge"/>
              <c:x val="1.4245184223376043E-2"/>
              <c:y val="1.385047037657213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Times New Roman"/>
                <a:ea typeface="Times New Roman"/>
                <a:cs typeface="Times New Roman"/>
              </a:defRPr>
            </a:pPr>
            <a:endParaRPr lang="de-DE"/>
          </a:p>
        </c:txPr>
        <c:crossAx val="108929408"/>
        <c:crosses val="autoZero"/>
        <c:crossBetween val="between"/>
      </c:valAx>
      <c:spPr>
        <a:gradFill rotWithShape="0">
          <a:gsLst>
            <a:gs pos="0">
              <a:srgbClr val="0F0000"/>
            </a:gs>
            <a:gs pos="100000">
              <a:srgbClr val="0F0000">
                <a:gamma/>
                <a:tint val="0"/>
                <a:invGamma/>
              </a:srgbClr>
            </a:gs>
          </a:gsLst>
          <a:lin ang="2700000" scaled="1"/>
        </a:grad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925" b="0" i="0" u="none" strike="noStrike" baseline="0">
          <a:solidFill>
            <a:srgbClr val="000000"/>
          </a:solidFill>
          <a:latin typeface="Times New Roman"/>
          <a:ea typeface="Times New Roman"/>
          <a:cs typeface="Times New Roman"/>
        </a:defRPr>
      </a:pPr>
      <a:endParaRPr lang="de-DE"/>
    </a:p>
  </c:txPr>
  <c:printSettings>
    <c:headerFooter alignWithMargins="0"/>
    <c:pageMargins b="0.984251969" l="0.78740157499999996" r="0.78740157499999996" t="0.984251969" header="0.4921259845" footer="0.4921259845"/>
    <c:pageSetup/>
  </c:printSettings>
</c:chartSpace>
</file>

<file path=xl/ctrlProps/ctrlProp1.xml><?xml version="1.0" encoding="utf-8"?>
<formControlPr xmlns="http://schemas.microsoft.com/office/spreadsheetml/2009/9/main" objectType="Spin" dx="15" fmlaLink="$E$23" max="188" min="1" noThreeD="1" page="10" val="161"/>
</file>

<file path=xl/ctrlProps/ctrlProp10.xml><?xml version="1.0" encoding="utf-8"?>
<formControlPr xmlns="http://schemas.microsoft.com/office/spreadsheetml/2009/9/main" objectType="Spin" dx="17" fmlaLink="$BU$65" max="800" page="10" val="372"/>
</file>

<file path=xl/ctrlProps/ctrlProp11.xml><?xml version="1.0" encoding="utf-8"?>
<formControlPr xmlns="http://schemas.microsoft.com/office/spreadsheetml/2009/9/main" objectType="Spin" dx="15" fmlaLink="$E$15" max="2" min="1" noThreeD="1" page="10"/>
</file>

<file path=xl/ctrlProps/ctrlProp12.xml><?xml version="1.0" encoding="utf-8"?>
<formControlPr xmlns="http://schemas.microsoft.com/office/spreadsheetml/2009/9/main" objectType="Spin" dx="15" fmlaLink="$E$65" max="2" min="1" noThreeD="1" page="10"/>
</file>

<file path=xl/ctrlProps/ctrlProp2.xml><?xml version="1.0" encoding="utf-8"?>
<formControlPr xmlns="http://schemas.microsoft.com/office/spreadsheetml/2009/9/main" objectType="Spin" dx="15" fmlaLink="$E$19" max="2" min="1" noThreeD="1" page="10"/>
</file>

<file path=xl/ctrlProps/ctrlProp3.xml><?xml version="1.0" encoding="utf-8"?>
<formControlPr xmlns="http://schemas.microsoft.com/office/spreadsheetml/2009/9/main" objectType="Spin" dx="15" fmlaLink="$E$21" max="12" min="1" noThreeD="1" page="10" val="10"/>
</file>

<file path=xl/ctrlProps/ctrlProp4.xml><?xml version="1.0" encoding="utf-8"?>
<formControlPr xmlns="http://schemas.microsoft.com/office/spreadsheetml/2009/9/main" objectType="Spin" dx="15" fmlaLink="$AN$61" max="100" noThreeD="1" page="10" val="30"/>
</file>

<file path=xl/ctrlProps/ctrlProp5.xml><?xml version="1.0" encoding="utf-8"?>
<formControlPr xmlns="http://schemas.microsoft.com/office/spreadsheetml/2009/9/main" objectType="Spin" dx="15" fmlaLink="$BD$27" max="100" min="1" noThreeD="1" page="10" val="30"/>
</file>

<file path=xl/ctrlProps/ctrlProp6.xml><?xml version="1.0" encoding="utf-8"?>
<formControlPr xmlns="http://schemas.microsoft.com/office/spreadsheetml/2009/9/main" objectType="Spin" dx="15" fmlaLink="$AN$45" max="300" noThreeD="1" page="10" val="50"/>
</file>

<file path=xl/ctrlProps/ctrlProp7.xml><?xml version="1.0" encoding="utf-8"?>
<formControlPr xmlns="http://schemas.microsoft.com/office/spreadsheetml/2009/9/main" objectType="Spin" dx="15" fmlaLink="$AN$43" max="30" min="20" noThreeD="1" page="10" val="20"/>
</file>

<file path=xl/ctrlProps/ctrlProp8.xml><?xml version="1.0" encoding="utf-8"?>
<formControlPr xmlns="http://schemas.microsoft.com/office/spreadsheetml/2009/9/main" objectType="Spin" dx="15" fmlaLink="$CL$63" max="50" noThreeD="1" page="10" val="10"/>
</file>

<file path=xl/ctrlProps/ctrlProp9.xml><?xml version="1.0" encoding="utf-8"?>
<formControlPr xmlns="http://schemas.microsoft.com/office/spreadsheetml/2009/9/main" objectType="Spin" dx="15" fmlaLink="$CL$61" max="300" noThreeD="1" page="10" val="21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emf"/></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14</xdr:col>
      <xdr:colOff>25879</xdr:colOff>
      <xdr:row>218</xdr:row>
      <xdr:rowOff>0</xdr:rowOff>
    </xdr:from>
    <xdr:to>
      <xdr:col>14</xdr:col>
      <xdr:colOff>103517</xdr:colOff>
      <xdr:row>219</xdr:row>
      <xdr:rowOff>43132</xdr:rowOff>
    </xdr:to>
    <xdr:sp macro="" textlink="">
      <xdr:nvSpPr>
        <xdr:cNvPr id="7834316" name="Text Box 3">
          <a:extLst>
            <a:ext uri="{FF2B5EF4-FFF2-40B4-BE49-F238E27FC236}">
              <a16:creationId xmlns:a16="http://schemas.microsoft.com/office/drawing/2014/main" id="{00000000-0008-0000-0100-0000CC8A7700}"/>
            </a:ext>
          </a:extLst>
        </xdr:cNvPr>
        <xdr:cNvSpPr txBox="1">
          <a:spLocks noChangeArrowheads="1"/>
        </xdr:cNvSpPr>
      </xdr:nvSpPr>
      <xdr:spPr bwMode="auto">
        <a:xfrm>
          <a:off x="3027872" y="27871947"/>
          <a:ext cx="77637" cy="198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32</xdr:col>
      <xdr:colOff>190500</xdr:colOff>
      <xdr:row>13</xdr:row>
      <xdr:rowOff>133350</xdr:rowOff>
    </xdr:from>
    <xdr:to>
      <xdr:col>68</xdr:col>
      <xdr:colOff>47625</xdr:colOff>
      <xdr:row>37</xdr:row>
      <xdr:rowOff>133350</xdr:rowOff>
    </xdr:to>
    <xdr:sp macro="" textlink="">
      <xdr:nvSpPr>
        <xdr:cNvPr id="4" name="Abgerundetes Rechteck 3">
          <a:extLst>
            <a:ext uri="{FF2B5EF4-FFF2-40B4-BE49-F238E27FC236}">
              <a16:creationId xmlns:a16="http://schemas.microsoft.com/office/drawing/2014/main" id="{00000000-0008-0000-0000-000007000000}"/>
            </a:ext>
          </a:extLst>
        </xdr:cNvPr>
        <xdr:cNvSpPr/>
      </xdr:nvSpPr>
      <xdr:spPr bwMode="auto">
        <a:xfrm>
          <a:off x="7191375" y="1695450"/>
          <a:ext cx="8772525" cy="3914775"/>
        </a:xfrm>
        <a:prstGeom prst="roundRect">
          <a:avLst/>
        </a:prstGeom>
        <a:solidFill>
          <a:srgbClr val="FFD5D5"/>
        </a:solidFill>
        <a:ln w="508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b="1"/>
            <a:t>Hinweis</a:t>
          </a:r>
          <a:r>
            <a:rPr lang="de-DE" sz="1100"/>
            <a:t>:			31.01.2021</a:t>
          </a:r>
        </a:p>
        <a:p>
          <a:pPr algn="l"/>
          <a:endParaRPr lang="de-DE" sz="1100"/>
        </a:p>
        <a:p>
          <a:pPr algn="l"/>
          <a:r>
            <a:rPr lang="de-DE" sz="1100"/>
            <a:t>Das </a:t>
          </a:r>
          <a:r>
            <a:rPr lang="de-DE" sz="1100" b="1"/>
            <a:t>EEG 2021</a:t>
          </a:r>
          <a:r>
            <a:rPr lang="de-DE" sz="1100"/>
            <a:t> bringt</a:t>
          </a:r>
          <a:r>
            <a:rPr lang="de-DE" sz="1100" baseline="0"/>
            <a:t> in Bezug auf die Ökonomik von Einspeiseanlagen mit Vergütungsanspruch bzw. Anspruch auf Marktprämie (Anlagen bis einschl. 750 kWp; keine Ausschreibungsanlagen) folgende Neuerungen (nicht abschließende Liste):</a:t>
          </a:r>
        </a:p>
        <a:p>
          <a:pPr algn="l"/>
          <a:endParaRPr lang="de-DE" sz="1100" baseline="0"/>
        </a:p>
        <a:p>
          <a:pPr algn="l"/>
          <a:r>
            <a:rPr lang="de-DE" sz="1100" b="1" baseline="0">
              <a:effectLst/>
              <a:latin typeface="+mn-lt"/>
              <a:ea typeface="+mn-ea"/>
              <a:cs typeface="+mn-cs"/>
            </a:rPr>
            <a:t>§48 Abs. 5</a:t>
          </a:r>
          <a:r>
            <a:rPr lang="de-DE" sz="1100" b="0" baseline="0">
              <a:effectLst/>
              <a:latin typeface="+mn-lt"/>
              <a:ea typeface="+mn-ea"/>
              <a:cs typeface="+mn-cs"/>
            </a:rPr>
            <a:t>:</a:t>
          </a:r>
          <a:r>
            <a:rPr lang="de-DE" sz="1100" baseline="0">
              <a:effectLst/>
              <a:latin typeface="+mn-lt"/>
              <a:ea typeface="+mn-ea"/>
              <a:cs typeface="+mn-cs"/>
            </a:rPr>
            <a:t> </a:t>
          </a:r>
          <a:r>
            <a:rPr lang="de-DE" sz="1100" b="1" baseline="0">
              <a:solidFill>
                <a:srgbClr val="FF0000"/>
              </a:solidFill>
              <a:effectLst/>
              <a:latin typeface="+mn-lt"/>
              <a:ea typeface="+mn-ea"/>
              <a:cs typeface="+mn-cs"/>
            </a:rPr>
            <a:t>Dach und Fassadena</a:t>
          </a:r>
          <a:r>
            <a:rPr lang="de-DE" sz="1100" b="1" baseline="0">
              <a:solidFill>
                <a:srgbClr val="FF0000"/>
              </a:solidFill>
            </a:rPr>
            <a:t>nlagen </a:t>
          </a:r>
          <a:r>
            <a:rPr lang="de-DE" sz="1100" baseline="0"/>
            <a:t>mit einer installierten Leistung von mehr als  300  bis einschließlich 750 kWp (an, auf oder in einem Gebäude oder Lärmschutzwand) haben nur für 50% der erzeugten Strommmenge einen Anspruch auf Vergütung. Für den über 50% hinausgehenden Anteil der erzeugten Strommenge reduziert sich der Anspruch auf null (gilt nicht für Freilandanlagen). </a:t>
          </a:r>
        </a:p>
        <a:p>
          <a:pPr algn="l"/>
          <a:r>
            <a:rPr lang="de-DE" sz="1100" baseline="0"/>
            <a:t>Diese Regelung gilt erst für Anlagen ab Inbetriebnahmedatum 01.April 2021 (</a:t>
          </a:r>
          <a:r>
            <a:rPr lang="de-DE" sz="1100" b="1" baseline="0"/>
            <a:t>§100 Abs.9</a:t>
          </a:r>
          <a:r>
            <a:rPr lang="de-DE" sz="1100" baseline="0"/>
            <a:t>).</a:t>
          </a:r>
        </a:p>
        <a:p>
          <a:pPr algn="l"/>
          <a:endParaRPr lang="de-DE" sz="1100" baseline="0"/>
        </a:p>
        <a:p>
          <a:pPr algn="l"/>
          <a:r>
            <a:rPr lang="de-DE" sz="1100" b="1" baseline="0">
              <a:effectLst/>
              <a:latin typeface="+mn-lt"/>
              <a:ea typeface="+mn-ea"/>
              <a:cs typeface="+mn-cs"/>
            </a:rPr>
            <a:t>§61b Abs. 2</a:t>
          </a:r>
          <a:r>
            <a:rPr lang="de-DE" sz="1100" b="0" baseline="0">
              <a:effectLst/>
              <a:latin typeface="+mn-lt"/>
              <a:ea typeface="+mn-ea"/>
              <a:cs typeface="+mn-cs"/>
            </a:rPr>
            <a:t>: Die Befreiungsgrenze von der EEG-Umlage bei Eigenversorgungen wurde von 10 kWp auf 30 kWp angehoben. Die Befreiung gilt für höchsten 30.000 kWh selbst verbrauchten Stroms. </a:t>
          </a:r>
        </a:p>
        <a:p>
          <a:pPr algn="l"/>
          <a:endParaRPr lang="de-DE" sz="1100" b="0" baseline="0">
            <a:effectLst/>
            <a:latin typeface="+mn-lt"/>
            <a:ea typeface="+mn-ea"/>
            <a:cs typeface="+mn-cs"/>
          </a:endParaRPr>
        </a:p>
        <a:p>
          <a:pPr algn="l"/>
          <a:r>
            <a:rPr lang="de-DE" sz="1100" b="0">
              <a:solidFill>
                <a:srgbClr val="FF0000"/>
              </a:solidFill>
            </a:rPr>
            <a:t>Das</a:t>
          </a:r>
          <a:r>
            <a:rPr lang="de-DE" sz="1100" b="0" baseline="0">
              <a:solidFill>
                <a:srgbClr val="FF0000"/>
              </a:solidFill>
            </a:rPr>
            <a:t> </a:t>
          </a:r>
          <a:r>
            <a:rPr lang="de-DE" sz="1100" b="0">
              <a:solidFill>
                <a:srgbClr val="FF0000"/>
              </a:solidFill>
            </a:rPr>
            <a:t>EEG 2021 (Gesetzestextes; Bundesgesetzblatt vom 28.12.2020) wurde Ende April von der EU-Kommission genehmigt. </a:t>
          </a:r>
        </a:p>
        <a:p>
          <a:pPr algn="l"/>
          <a:r>
            <a:rPr lang="de-DE" sz="1100" b="0">
              <a:solidFill>
                <a:srgbClr val="FF0000"/>
              </a:solidFill>
            </a:rPr>
            <a:t>Der Beschluss betrifft nicht die Quoten und Ausschreibungen für die Südregion, die Anschlussregelung für Altholz-Anlagen, Güllekleinanlagen oder große Windenergieanlagen an Land, die nachträgliche Erhöhung der Vergütung für Wasserkraftanlagen und die Förderung nicht unabhängiger Teile von Unternehmen, denen eine Teilbefreiung von der EEG-Umlage für energieintensive Nutzer im Wasserstoffsektor gewährt wird, die Förderung von sauberem Wasserstoff über Teilbefreiungen für energieintensive Nutzer sowie die Förderung von Schienenbahnen und Bussen über ebensolche Teilbefreiungen.</a:t>
          </a:r>
        </a:p>
      </xdr:txBody>
    </xdr:sp>
    <xdr:clientData fPrintsWithSheet="0"/>
  </xdr:twoCellAnchor>
  <xdr:twoCellAnchor>
    <xdr:from>
      <xdr:col>32</xdr:col>
      <xdr:colOff>190500</xdr:colOff>
      <xdr:row>2</xdr:row>
      <xdr:rowOff>66676</xdr:rowOff>
    </xdr:from>
    <xdr:to>
      <xdr:col>68</xdr:col>
      <xdr:colOff>47625</xdr:colOff>
      <xdr:row>12</xdr:row>
      <xdr:rowOff>28576</xdr:rowOff>
    </xdr:to>
    <xdr:sp macro="" textlink="">
      <xdr:nvSpPr>
        <xdr:cNvPr id="5" name="Abgerundetes Rechteck 4">
          <a:extLst>
            <a:ext uri="{FF2B5EF4-FFF2-40B4-BE49-F238E27FC236}">
              <a16:creationId xmlns:a16="http://schemas.microsoft.com/office/drawing/2014/main" id="{00000000-0008-0000-0000-000007000000}"/>
            </a:ext>
          </a:extLst>
        </xdr:cNvPr>
        <xdr:cNvSpPr/>
      </xdr:nvSpPr>
      <xdr:spPr bwMode="auto">
        <a:xfrm>
          <a:off x="7191375" y="161926"/>
          <a:ext cx="8772525" cy="1276350"/>
        </a:xfrm>
        <a:prstGeom prst="roundRect">
          <a:avLst/>
        </a:prstGeom>
        <a:solidFill>
          <a:srgbClr val="FFD5D5"/>
        </a:solidFill>
        <a:ln w="508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b="1"/>
            <a:t>Hinweis</a:t>
          </a:r>
          <a:r>
            <a:rPr lang="de-DE" sz="1100"/>
            <a:t>:			01.05.2022</a:t>
          </a:r>
        </a:p>
        <a:p>
          <a:pPr algn="l"/>
          <a:endParaRPr lang="de-DE" sz="1100"/>
        </a:p>
        <a:p>
          <a:pPr algn="l"/>
          <a:r>
            <a:rPr lang="de-DE" sz="1100"/>
            <a:t>Der</a:t>
          </a:r>
          <a:r>
            <a:rPr lang="de-DE" sz="1100" baseline="0"/>
            <a:t> Bundestag hat Ende April 2022 beschlossen, die EEG-Umlage zum 01.07.2022 abzuschaffen. Derzeit (01.07.2022) ist diese Regelung</a:t>
          </a:r>
        </a:p>
        <a:p>
          <a:pPr algn="l"/>
          <a:r>
            <a:rPr lang="de-DE" sz="1100" baseline="0"/>
            <a:t>noch nicht in Kraft getreten. Bitte machen Sie sich zur jeweils aktuellen rechtlichen Situation kundig und ändern ggf. die EEG-Umlage auf NULL, </a:t>
          </a:r>
          <a:br>
            <a:rPr lang="de-DE" sz="1100" baseline="0"/>
          </a:br>
          <a:r>
            <a:rPr lang="de-DE" sz="1100" baseline="0"/>
            <a:t>sofern die angesprochene Regelung gilt.</a:t>
          </a:r>
        </a:p>
        <a:p>
          <a:pPr algn="l"/>
          <a:r>
            <a:rPr lang="de-DE" sz="1100" baseline="0"/>
            <a:t>Eine Umsetzung dieser Regelung im Programm kann erst in der nächsten Version erfolgen. </a:t>
          </a:r>
          <a:endParaRPr lang="de-DE" sz="1100" b="0">
            <a:solidFill>
              <a:srgbClr val="FF0000"/>
            </a:solidFill>
          </a:endParaRPr>
        </a:p>
      </xdr:txBody>
    </xdr:sp>
    <xdr:clientData fPrintsWithSheet="0"/>
  </xdr:twoCellAnchor>
  <xdr:twoCellAnchor editAs="oneCell">
    <xdr:from>
      <xdr:col>35</xdr:col>
      <xdr:colOff>95250</xdr:colOff>
      <xdr:row>2</xdr:row>
      <xdr:rowOff>123826</xdr:rowOff>
    </xdr:from>
    <xdr:to>
      <xdr:col>37</xdr:col>
      <xdr:colOff>130115</xdr:colOff>
      <xdr:row>5</xdr:row>
      <xdr:rowOff>20848</xdr:rowOff>
    </xdr:to>
    <xdr:pic>
      <xdr:nvPicPr>
        <xdr:cNvPr id="6" name="Grafik 22">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39075" y="219076"/>
          <a:ext cx="530165" cy="37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333375</xdr:colOff>
          <xdr:row>18</xdr:row>
          <xdr:rowOff>123825</xdr:rowOff>
        </xdr:from>
        <xdr:to>
          <xdr:col>14</xdr:col>
          <xdr:colOff>171450</xdr:colOff>
          <xdr:row>22</xdr:row>
          <xdr:rowOff>9525</xdr:rowOff>
        </xdr:to>
        <xdr:sp macro="" textlink="">
          <xdr:nvSpPr>
            <xdr:cNvPr id="792592" name="Spinner 16" hidden="1">
              <a:extLst>
                <a:ext uri="{63B3BB69-23CF-44E3-9099-C40C66FF867C}">
                  <a14:compatExt spid="_x0000_s792592"/>
                </a:ext>
                <a:ext uri="{FF2B5EF4-FFF2-40B4-BE49-F238E27FC236}">
                  <a16:creationId xmlns:a16="http://schemas.microsoft.com/office/drawing/2014/main" id="{00000000-0008-0000-0000-000010180C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15</xdr:row>
          <xdr:rowOff>9525</xdr:rowOff>
        </xdr:from>
        <xdr:to>
          <xdr:col>14</xdr:col>
          <xdr:colOff>171450</xdr:colOff>
          <xdr:row>18</xdr:row>
          <xdr:rowOff>47625</xdr:rowOff>
        </xdr:to>
        <xdr:sp macro="" textlink="">
          <xdr:nvSpPr>
            <xdr:cNvPr id="792593" name="Spinner 17" hidden="1">
              <a:extLst>
                <a:ext uri="{63B3BB69-23CF-44E3-9099-C40C66FF867C}">
                  <a14:compatExt spid="_x0000_s792593"/>
                </a:ext>
                <a:ext uri="{FF2B5EF4-FFF2-40B4-BE49-F238E27FC236}">
                  <a16:creationId xmlns:a16="http://schemas.microsoft.com/office/drawing/2014/main" id="{00000000-0008-0000-0000-000011180C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171450</xdr:colOff>
          <xdr:row>16</xdr:row>
          <xdr:rowOff>123825</xdr:rowOff>
        </xdr:from>
        <xdr:to>
          <xdr:col>14</xdr:col>
          <xdr:colOff>390525</xdr:colOff>
          <xdr:row>20</xdr:row>
          <xdr:rowOff>9525</xdr:rowOff>
        </xdr:to>
        <xdr:sp macro="" textlink="">
          <xdr:nvSpPr>
            <xdr:cNvPr id="792725" name="Spinner 149" hidden="1">
              <a:extLst>
                <a:ext uri="{63B3BB69-23CF-44E3-9099-C40C66FF867C}">
                  <a14:compatExt spid="_x0000_s792725"/>
                </a:ext>
                <a:ext uri="{FF2B5EF4-FFF2-40B4-BE49-F238E27FC236}">
                  <a16:creationId xmlns:a16="http://schemas.microsoft.com/office/drawing/2014/main" id="{00000000-0008-0000-0000-000095180C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21</xdr:col>
      <xdr:colOff>0</xdr:colOff>
      <xdr:row>16</xdr:row>
      <xdr:rowOff>0</xdr:rowOff>
    </xdr:from>
    <xdr:to>
      <xdr:col>37</xdr:col>
      <xdr:colOff>0</xdr:colOff>
      <xdr:row>40</xdr:row>
      <xdr:rowOff>0</xdr:rowOff>
    </xdr:to>
    <xdr:graphicFrame macro="">
      <xdr:nvGraphicFramePr>
        <xdr:cNvPr id="10362685" name="Diagramm 1">
          <a:extLst>
            <a:ext uri="{FF2B5EF4-FFF2-40B4-BE49-F238E27FC236}">
              <a16:creationId xmlns:a16="http://schemas.microsoft.com/office/drawing/2014/main" id="{00000000-0008-0000-0000-00003D1F9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86264</xdr:colOff>
      <xdr:row>18</xdr:row>
      <xdr:rowOff>25879</xdr:rowOff>
    </xdr:from>
    <xdr:to>
      <xdr:col>25</xdr:col>
      <xdr:colOff>301925</xdr:colOff>
      <xdr:row>24</xdr:row>
      <xdr:rowOff>77638</xdr:rowOff>
    </xdr:to>
    <xdr:grpSp>
      <xdr:nvGrpSpPr>
        <xdr:cNvPr id="10362686" name="Group 10">
          <a:extLst>
            <a:ext uri="{FF2B5EF4-FFF2-40B4-BE49-F238E27FC236}">
              <a16:creationId xmlns:a16="http://schemas.microsoft.com/office/drawing/2014/main" id="{00000000-0008-0000-0000-00003E1F9E00}"/>
            </a:ext>
          </a:extLst>
        </xdr:cNvPr>
        <xdr:cNvGrpSpPr>
          <a:grpSpLocks/>
        </xdr:cNvGrpSpPr>
      </xdr:nvGrpSpPr>
      <xdr:grpSpPr bwMode="auto">
        <a:xfrm>
          <a:off x="6658514" y="1435579"/>
          <a:ext cx="596661" cy="566109"/>
          <a:chOff x="618" y="84"/>
          <a:chExt cx="74" cy="75"/>
        </a:xfrm>
      </xdr:grpSpPr>
      <xdr:sp macro="" textlink="">
        <xdr:nvSpPr>
          <xdr:cNvPr id="10362703" name="Line 8">
            <a:extLst>
              <a:ext uri="{FF2B5EF4-FFF2-40B4-BE49-F238E27FC236}">
                <a16:creationId xmlns:a16="http://schemas.microsoft.com/office/drawing/2014/main" id="{00000000-0008-0000-0000-00004F1F9E00}"/>
              </a:ext>
            </a:extLst>
          </xdr:cNvPr>
          <xdr:cNvSpPr>
            <a:spLocks noChangeShapeType="1"/>
          </xdr:cNvSpPr>
        </xdr:nvSpPr>
        <xdr:spPr bwMode="auto">
          <a:xfrm>
            <a:off x="630" y="124"/>
            <a:ext cx="0" cy="3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0362704" name="Line 4">
            <a:extLst>
              <a:ext uri="{FF2B5EF4-FFF2-40B4-BE49-F238E27FC236}">
                <a16:creationId xmlns:a16="http://schemas.microsoft.com/office/drawing/2014/main" id="{00000000-0008-0000-0000-0000501F9E00}"/>
              </a:ext>
            </a:extLst>
          </xdr:cNvPr>
          <xdr:cNvSpPr>
            <a:spLocks noChangeShapeType="1"/>
          </xdr:cNvSpPr>
        </xdr:nvSpPr>
        <xdr:spPr bwMode="auto">
          <a:xfrm>
            <a:off x="638" y="122"/>
            <a:ext cx="16" cy="37"/>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0362705" name="Line 6">
            <a:extLst>
              <a:ext uri="{FF2B5EF4-FFF2-40B4-BE49-F238E27FC236}">
                <a16:creationId xmlns:a16="http://schemas.microsoft.com/office/drawing/2014/main" id="{00000000-0008-0000-0000-0000511F9E00}"/>
              </a:ext>
            </a:extLst>
          </xdr:cNvPr>
          <xdr:cNvSpPr>
            <a:spLocks noChangeShapeType="1"/>
          </xdr:cNvSpPr>
        </xdr:nvSpPr>
        <xdr:spPr bwMode="auto">
          <a:xfrm>
            <a:off x="647" y="119"/>
            <a:ext cx="33" cy="39"/>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0362706" name="Line 7">
            <a:extLst>
              <a:ext uri="{FF2B5EF4-FFF2-40B4-BE49-F238E27FC236}">
                <a16:creationId xmlns:a16="http://schemas.microsoft.com/office/drawing/2014/main" id="{00000000-0008-0000-0000-0000521F9E00}"/>
              </a:ext>
            </a:extLst>
          </xdr:cNvPr>
          <xdr:cNvSpPr>
            <a:spLocks noChangeShapeType="1"/>
          </xdr:cNvSpPr>
        </xdr:nvSpPr>
        <xdr:spPr bwMode="auto">
          <a:xfrm>
            <a:off x="656" y="113"/>
            <a:ext cx="34" cy="27"/>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0362707" name="Line 9">
            <a:extLst>
              <a:ext uri="{FF2B5EF4-FFF2-40B4-BE49-F238E27FC236}">
                <a16:creationId xmlns:a16="http://schemas.microsoft.com/office/drawing/2014/main" id="{00000000-0008-0000-0000-0000531F9E00}"/>
              </a:ext>
            </a:extLst>
          </xdr:cNvPr>
          <xdr:cNvSpPr>
            <a:spLocks noChangeShapeType="1"/>
          </xdr:cNvSpPr>
        </xdr:nvSpPr>
        <xdr:spPr bwMode="auto">
          <a:xfrm>
            <a:off x="658" y="103"/>
            <a:ext cx="34" cy="12"/>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0362708" name="Oval 3">
            <a:extLst>
              <a:ext uri="{FF2B5EF4-FFF2-40B4-BE49-F238E27FC236}">
                <a16:creationId xmlns:a16="http://schemas.microsoft.com/office/drawing/2014/main" id="{00000000-0008-0000-0000-0000541F9E00}"/>
              </a:ext>
            </a:extLst>
          </xdr:cNvPr>
          <xdr:cNvSpPr>
            <a:spLocks noChangeArrowheads="1"/>
          </xdr:cNvSpPr>
        </xdr:nvSpPr>
        <xdr:spPr bwMode="auto">
          <a:xfrm>
            <a:off x="618" y="84"/>
            <a:ext cx="34" cy="34"/>
          </a:xfrm>
          <a:prstGeom prst="ellipse">
            <a:avLst/>
          </a:prstGeom>
          <a:gradFill rotWithShape="0">
            <a:gsLst>
              <a:gs pos="0">
                <a:srgbClr val="FF3300"/>
              </a:gs>
              <a:gs pos="100000">
                <a:srgbClr val="FFE1D9"/>
              </a:gs>
            </a:gsLst>
            <a:lin ang="2700000" scaled="1"/>
          </a:gradFill>
          <a:ln w="9525">
            <a:solidFill>
              <a:srgbClr val="000000"/>
            </a:solidFill>
            <a:round/>
            <a:headEnd/>
            <a:tailEnd/>
          </a:ln>
        </xdr:spPr>
      </xdr:sp>
    </xdr:grpSp>
    <xdr:clientData/>
  </xdr:twoCellAnchor>
  <xdr:twoCellAnchor>
    <xdr:from>
      <xdr:col>21</xdr:col>
      <xdr:colOff>43132</xdr:colOff>
      <xdr:row>40</xdr:row>
      <xdr:rowOff>51758</xdr:rowOff>
    </xdr:from>
    <xdr:to>
      <xdr:col>22</xdr:col>
      <xdr:colOff>77638</xdr:colOff>
      <xdr:row>44</xdr:row>
      <xdr:rowOff>112143</xdr:rowOff>
    </xdr:to>
    <xdr:grpSp>
      <xdr:nvGrpSpPr>
        <xdr:cNvPr id="10362687" name="Gruppieren 8">
          <a:extLst>
            <a:ext uri="{FF2B5EF4-FFF2-40B4-BE49-F238E27FC236}">
              <a16:creationId xmlns:a16="http://schemas.microsoft.com/office/drawing/2014/main" id="{00000000-0008-0000-0000-00003F1F9E00}"/>
            </a:ext>
          </a:extLst>
        </xdr:cNvPr>
        <xdr:cNvGrpSpPr>
          <a:grpSpLocks/>
        </xdr:cNvGrpSpPr>
      </xdr:nvGrpSpPr>
      <xdr:grpSpPr bwMode="auto">
        <a:xfrm>
          <a:off x="6005782" y="3347408"/>
          <a:ext cx="148806" cy="403285"/>
          <a:chOff x="7553325" y="4953000"/>
          <a:chExt cx="152400" cy="428625"/>
        </a:xfrm>
      </xdr:grpSpPr>
      <xdr:cxnSp macro="">
        <xdr:nvCxnSpPr>
          <xdr:cNvPr id="6" name="Gerade Verbindung 5">
            <a:extLst>
              <a:ext uri="{FF2B5EF4-FFF2-40B4-BE49-F238E27FC236}">
                <a16:creationId xmlns:a16="http://schemas.microsoft.com/office/drawing/2014/main" id="{00000000-0008-0000-0000-000006000000}"/>
              </a:ext>
            </a:extLst>
          </xdr:cNvPr>
          <xdr:cNvCxnSpPr/>
        </xdr:nvCxnSpPr>
        <xdr:spPr>
          <a:xfrm>
            <a:off x="7629525" y="4953000"/>
            <a:ext cx="0" cy="419506"/>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 name="Ellipse 1">
            <a:extLst>
              <a:ext uri="{FF2B5EF4-FFF2-40B4-BE49-F238E27FC236}">
                <a16:creationId xmlns:a16="http://schemas.microsoft.com/office/drawing/2014/main" id="{00000000-0008-0000-0000-000002000000}"/>
              </a:ext>
            </a:extLst>
          </xdr:cNvPr>
          <xdr:cNvSpPr/>
        </xdr:nvSpPr>
        <xdr:spPr>
          <a:xfrm>
            <a:off x="7570259" y="5098915"/>
            <a:ext cx="127000" cy="136795"/>
          </a:xfrm>
          <a:prstGeom prst="ellipse">
            <a:avLst/>
          </a:prstGeom>
          <a:solidFill>
            <a:srgbClr val="FFFF00"/>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sp macro="" textlink="">
        <xdr:nvSpPr>
          <xdr:cNvPr id="7" name="Rechteck 6">
            <a:extLst>
              <a:ext uri="{FF2B5EF4-FFF2-40B4-BE49-F238E27FC236}">
                <a16:creationId xmlns:a16="http://schemas.microsoft.com/office/drawing/2014/main" id="{00000000-0008-0000-0000-000007000000}"/>
              </a:ext>
            </a:extLst>
          </xdr:cNvPr>
          <xdr:cNvSpPr/>
        </xdr:nvSpPr>
        <xdr:spPr>
          <a:xfrm>
            <a:off x="7553325" y="4953000"/>
            <a:ext cx="152400" cy="45598"/>
          </a:xfrm>
          <a:prstGeom prst="rect">
            <a:avLst/>
          </a:prstGeom>
          <a:solidFill>
            <a:srgbClr val="00FF00"/>
          </a:solidFill>
          <a:ln w="952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sp macro="" textlink="">
        <xdr:nvSpPr>
          <xdr:cNvPr id="20" name="Rechteck 19">
            <a:extLst>
              <a:ext uri="{FF2B5EF4-FFF2-40B4-BE49-F238E27FC236}">
                <a16:creationId xmlns:a16="http://schemas.microsoft.com/office/drawing/2014/main" id="{00000000-0008-0000-0000-000014000000}"/>
              </a:ext>
            </a:extLst>
          </xdr:cNvPr>
          <xdr:cNvSpPr/>
        </xdr:nvSpPr>
        <xdr:spPr>
          <a:xfrm>
            <a:off x="7553325" y="5336027"/>
            <a:ext cx="152400" cy="45598"/>
          </a:xfrm>
          <a:prstGeom prst="rect">
            <a:avLst/>
          </a:prstGeom>
          <a:solidFill>
            <a:srgbClr val="FF0000"/>
          </a:solidFill>
          <a:ln w="9525">
            <a:solidFill>
              <a:srgbClr val="8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grpSp>
    <xdr:clientData/>
  </xdr:twoCellAnchor>
  <mc:AlternateContent xmlns:mc="http://schemas.openxmlformats.org/markup-compatibility/2006">
    <mc:Choice xmlns:a14="http://schemas.microsoft.com/office/drawing/2010/main" Requires="a14">
      <xdr:twoCellAnchor>
        <xdr:from>
          <xdr:col>14</xdr:col>
          <xdr:colOff>171450</xdr:colOff>
          <xdr:row>46</xdr:row>
          <xdr:rowOff>95250</xdr:rowOff>
        </xdr:from>
        <xdr:to>
          <xdr:col>14</xdr:col>
          <xdr:colOff>390525</xdr:colOff>
          <xdr:row>49</xdr:row>
          <xdr:rowOff>0</xdr:rowOff>
        </xdr:to>
        <xdr:sp macro="" textlink="">
          <xdr:nvSpPr>
            <xdr:cNvPr id="5426861" name="Spinner 10925" hidden="1">
              <a:extLst>
                <a:ext uri="{63B3BB69-23CF-44E3-9099-C40C66FF867C}">
                  <a14:compatExt spid="_x0000_s5426861"/>
                </a:ext>
                <a:ext uri="{FF2B5EF4-FFF2-40B4-BE49-F238E27FC236}">
                  <a16:creationId xmlns:a16="http://schemas.microsoft.com/office/drawing/2014/main" id="{00000000-0008-0000-0000-0000ADCE52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171450</xdr:colOff>
          <xdr:row>60</xdr:row>
          <xdr:rowOff>66675</xdr:rowOff>
        </xdr:from>
        <xdr:to>
          <xdr:col>14</xdr:col>
          <xdr:colOff>390525</xdr:colOff>
          <xdr:row>62</xdr:row>
          <xdr:rowOff>123825</xdr:rowOff>
        </xdr:to>
        <xdr:sp macro="" textlink="">
          <xdr:nvSpPr>
            <xdr:cNvPr id="5649501" name="Spinner 11357" hidden="1">
              <a:extLst>
                <a:ext uri="{63B3BB69-23CF-44E3-9099-C40C66FF867C}">
                  <a14:compatExt spid="_x0000_s5649501"/>
                </a:ext>
                <a:ext uri="{FF2B5EF4-FFF2-40B4-BE49-F238E27FC236}">
                  <a16:creationId xmlns:a16="http://schemas.microsoft.com/office/drawing/2014/main" id="{00000000-0008-0000-0000-00005D3456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180975</xdr:colOff>
          <xdr:row>74</xdr:row>
          <xdr:rowOff>104775</xdr:rowOff>
        </xdr:from>
        <xdr:to>
          <xdr:col>15</xdr:col>
          <xdr:colOff>9525</xdr:colOff>
          <xdr:row>77</xdr:row>
          <xdr:rowOff>19050</xdr:rowOff>
        </xdr:to>
        <xdr:sp macro="" textlink="">
          <xdr:nvSpPr>
            <xdr:cNvPr id="5649750" name="Spinner 11606" hidden="1">
              <a:extLst>
                <a:ext uri="{63B3BB69-23CF-44E3-9099-C40C66FF867C}">
                  <a14:compatExt spid="_x0000_s5649750"/>
                </a:ext>
                <a:ext uri="{FF2B5EF4-FFF2-40B4-BE49-F238E27FC236}">
                  <a16:creationId xmlns:a16="http://schemas.microsoft.com/office/drawing/2014/main" id="{00000000-0008-0000-0000-0000563556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171450</xdr:colOff>
          <xdr:row>29</xdr:row>
          <xdr:rowOff>0</xdr:rowOff>
        </xdr:from>
        <xdr:to>
          <xdr:col>14</xdr:col>
          <xdr:colOff>390525</xdr:colOff>
          <xdr:row>32</xdr:row>
          <xdr:rowOff>9525</xdr:rowOff>
        </xdr:to>
        <xdr:sp macro="" textlink="">
          <xdr:nvSpPr>
            <xdr:cNvPr id="5649790" name="Spinner 11646" hidden="1">
              <a:extLst>
                <a:ext uri="{63B3BB69-23CF-44E3-9099-C40C66FF867C}">
                  <a14:compatExt spid="_x0000_s5649790"/>
                </a:ext>
                <a:ext uri="{FF2B5EF4-FFF2-40B4-BE49-F238E27FC236}">
                  <a16:creationId xmlns:a16="http://schemas.microsoft.com/office/drawing/2014/main" id="{00000000-0008-0000-0000-00007E3556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90</xdr:col>
      <xdr:colOff>0</xdr:colOff>
      <xdr:row>28</xdr:row>
      <xdr:rowOff>0</xdr:rowOff>
    </xdr:from>
    <xdr:to>
      <xdr:col>106</xdr:col>
      <xdr:colOff>0</xdr:colOff>
      <xdr:row>54</xdr:row>
      <xdr:rowOff>0</xdr:rowOff>
    </xdr:to>
    <xdr:graphicFrame macro="">
      <xdr:nvGraphicFramePr>
        <xdr:cNvPr id="10362688" name="Diagramm 40">
          <a:extLst>
            <a:ext uri="{FF2B5EF4-FFF2-40B4-BE49-F238E27FC236}">
              <a16:creationId xmlns:a16="http://schemas.microsoft.com/office/drawing/2014/main" id="{00000000-0008-0000-0000-0000401F9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49</xdr:col>
      <xdr:colOff>283952</xdr:colOff>
      <xdr:row>56</xdr:row>
      <xdr:rowOff>141975</xdr:rowOff>
    </xdr:from>
    <xdr:to>
      <xdr:col>50</xdr:col>
      <xdr:colOff>43914</xdr:colOff>
      <xdr:row>59</xdr:row>
      <xdr:rowOff>17498</xdr:rowOff>
    </xdr:to>
    <xdr:sp macro="" textlink="">
      <xdr:nvSpPr>
        <xdr:cNvPr id="29" name="Ellipse 28">
          <a:extLst>
            <a:ext uri="{FF2B5EF4-FFF2-40B4-BE49-F238E27FC236}">
              <a16:creationId xmlns:a16="http://schemas.microsoft.com/office/drawing/2014/main" id="{00000000-0008-0000-0000-00001D000000}"/>
            </a:ext>
          </a:extLst>
        </xdr:cNvPr>
        <xdr:cNvSpPr/>
      </xdr:nvSpPr>
      <xdr:spPr>
        <a:xfrm>
          <a:off x="20507325" y="4810124"/>
          <a:ext cx="216000" cy="196950"/>
        </a:xfrm>
        <a:prstGeom prst="ellipse">
          <a:avLst/>
        </a:prstGeom>
        <a:solidFill>
          <a:srgbClr val="FF00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de-DE" sz="1100" b="1">
              <a:solidFill>
                <a:schemeClr val="bg1"/>
              </a:solidFill>
              <a:latin typeface="+mn-lt"/>
              <a:ea typeface="+mn-ea"/>
              <a:cs typeface="+mn-cs"/>
            </a:rPr>
            <a:t>2</a:t>
          </a:r>
        </a:p>
      </xdr:txBody>
    </xdr:sp>
    <xdr:clientData fPrintsWithSheet="0"/>
  </xdr:twoCellAnchor>
  <mc:AlternateContent xmlns:mc="http://schemas.openxmlformats.org/markup-compatibility/2006">
    <mc:Choice xmlns:a14="http://schemas.microsoft.com/office/drawing/2010/main" Requires="a14">
      <xdr:twoCellAnchor>
        <xdr:from>
          <xdr:col>99</xdr:col>
          <xdr:colOff>171450</xdr:colOff>
          <xdr:row>61</xdr:row>
          <xdr:rowOff>0</xdr:rowOff>
        </xdr:from>
        <xdr:to>
          <xdr:col>100</xdr:col>
          <xdr:colOff>0</xdr:colOff>
          <xdr:row>64</xdr:row>
          <xdr:rowOff>0</xdr:rowOff>
        </xdr:to>
        <xdr:sp macro="" textlink="">
          <xdr:nvSpPr>
            <xdr:cNvPr id="5882447" name="Spinner 12879" hidden="1">
              <a:extLst>
                <a:ext uri="{63B3BB69-23CF-44E3-9099-C40C66FF867C}">
                  <a14:compatExt spid="_x0000_s5882447"/>
                </a:ext>
                <a:ext uri="{FF2B5EF4-FFF2-40B4-BE49-F238E27FC236}">
                  <a16:creationId xmlns:a16="http://schemas.microsoft.com/office/drawing/2014/main" id="{00000000-0008-0000-0000-00004FC259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13</xdr:col>
      <xdr:colOff>255377</xdr:colOff>
      <xdr:row>46</xdr:row>
      <xdr:rowOff>141076</xdr:rowOff>
    </xdr:from>
    <xdr:to>
      <xdr:col>14</xdr:col>
      <xdr:colOff>91219</xdr:colOff>
      <xdr:row>50</xdr:row>
      <xdr:rowOff>6713</xdr:rowOff>
    </xdr:to>
    <xdr:sp macro="" textlink="">
      <xdr:nvSpPr>
        <xdr:cNvPr id="34" name="Ellipse 33">
          <a:extLst>
            <a:ext uri="{FF2B5EF4-FFF2-40B4-BE49-F238E27FC236}">
              <a16:creationId xmlns:a16="http://schemas.microsoft.com/office/drawing/2014/main" id="{00000000-0008-0000-0000-000022000000}"/>
            </a:ext>
          </a:extLst>
        </xdr:cNvPr>
        <xdr:cNvSpPr/>
      </xdr:nvSpPr>
      <xdr:spPr>
        <a:xfrm>
          <a:off x="3705943" y="3984623"/>
          <a:ext cx="228823" cy="210693"/>
        </a:xfrm>
        <a:prstGeom prst="ellipse">
          <a:avLst/>
        </a:prstGeom>
        <a:solidFill>
          <a:srgbClr val="FF00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b="1">
              <a:solidFill>
                <a:schemeClr val="bg1"/>
              </a:solidFill>
            </a:rPr>
            <a:t>2</a:t>
          </a:r>
        </a:p>
      </xdr:txBody>
    </xdr:sp>
    <xdr:clientData fPrintsWithSheet="0"/>
  </xdr:twoCellAnchor>
  <xdr:twoCellAnchor>
    <xdr:from>
      <xdr:col>13</xdr:col>
      <xdr:colOff>255377</xdr:colOff>
      <xdr:row>60</xdr:row>
      <xdr:rowOff>122803</xdr:rowOff>
    </xdr:from>
    <xdr:to>
      <xdr:col>14</xdr:col>
      <xdr:colOff>91219</xdr:colOff>
      <xdr:row>63</xdr:row>
      <xdr:rowOff>18902</xdr:rowOff>
    </xdr:to>
    <xdr:sp macro="" textlink="">
      <xdr:nvSpPr>
        <xdr:cNvPr id="35" name="Ellipse 34">
          <a:extLst>
            <a:ext uri="{FF2B5EF4-FFF2-40B4-BE49-F238E27FC236}">
              <a16:creationId xmlns:a16="http://schemas.microsoft.com/office/drawing/2014/main" id="{00000000-0008-0000-0000-000023000000}"/>
            </a:ext>
          </a:extLst>
        </xdr:cNvPr>
        <xdr:cNvSpPr/>
      </xdr:nvSpPr>
      <xdr:spPr>
        <a:xfrm>
          <a:off x="3705943" y="5174049"/>
          <a:ext cx="228823" cy="212400"/>
        </a:xfrm>
        <a:prstGeom prst="ellipse">
          <a:avLst/>
        </a:prstGeom>
        <a:solidFill>
          <a:srgbClr val="FF00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b="1">
              <a:solidFill>
                <a:schemeClr val="bg1"/>
              </a:solidFill>
            </a:rPr>
            <a:t>3</a:t>
          </a:r>
        </a:p>
      </xdr:txBody>
    </xdr:sp>
    <xdr:clientData fPrintsWithSheet="0"/>
  </xdr:twoCellAnchor>
  <xdr:twoCellAnchor>
    <xdr:from>
      <xdr:col>66</xdr:col>
      <xdr:colOff>28573</xdr:colOff>
      <xdr:row>22</xdr:row>
      <xdr:rowOff>75301</xdr:rowOff>
    </xdr:from>
    <xdr:to>
      <xdr:col>66</xdr:col>
      <xdr:colOff>242756</xdr:colOff>
      <xdr:row>24</xdr:row>
      <xdr:rowOff>138090</xdr:rowOff>
    </xdr:to>
    <xdr:sp macro="" textlink="">
      <xdr:nvSpPr>
        <xdr:cNvPr id="36" name="Ellipse 35">
          <a:extLst>
            <a:ext uri="{FF2B5EF4-FFF2-40B4-BE49-F238E27FC236}">
              <a16:creationId xmlns:a16="http://schemas.microsoft.com/office/drawing/2014/main" id="{00000000-0008-0000-0000-000024000000}"/>
            </a:ext>
          </a:extLst>
        </xdr:cNvPr>
        <xdr:cNvSpPr/>
      </xdr:nvSpPr>
      <xdr:spPr>
        <a:xfrm>
          <a:off x="24926923" y="1657350"/>
          <a:ext cx="216000" cy="225524"/>
        </a:xfrm>
        <a:prstGeom prst="ellipse">
          <a:avLst/>
        </a:prstGeom>
        <a:solidFill>
          <a:srgbClr val="FF00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b="1">
              <a:solidFill>
                <a:schemeClr val="bg1"/>
              </a:solidFill>
            </a:rPr>
            <a:t>3</a:t>
          </a:r>
        </a:p>
      </xdr:txBody>
    </xdr:sp>
    <xdr:clientData fPrintsWithSheet="0"/>
  </xdr:twoCellAnchor>
  <xdr:twoCellAnchor>
    <xdr:from>
      <xdr:col>13</xdr:col>
      <xdr:colOff>255377</xdr:colOff>
      <xdr:row>28</xdr:row>
      <xdr:rowOff>141076</xdr:rowOff>
    </xdr:from>
    <xdr:to>
      <xdr:col>14</xdr:col>
      <xdr:colOff>91219</xdr:colOff>
      <xdr:row>32</xdr:row>
      <xdr:rowOff>6713</xdr:rowOff>
    </xdr:to>
    <xdr:sp macro="" textlink="">
      <xdr:nvSpPr>
        <xdr:cNvPr id="37" name="Ellipse 36">
          <a:extLst>
            <a:ext uri="{FF2B5EF4-FFF2-40B4-BE49-F238E27FC236}">
              <a16:creationId xmlns:a16="http://schemas.microsoft.com/office/drawing/2014/main" id="{00000000-0008-0000-0000-000025000000}"/>
            </a:ext>
          </a:extLst>
        </xdr:cNvPr>
        <xdr:cNvSpPr/>
      </xdr:nvSpPr>
      <xdr:spPr>
        <a:xfrm>
          <a:off x="3705943" y="2431868"/>
          <a:ext cx="228823" cy="210694"/>
        </a:xfrm>
        <a:prstGeom prst="ellipse">
          <a:avLst/>
        </a:prstGeom>
        <a:solidFill>
          <a:srgbClr val="FF00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b="1">
              <a:solidFill>
                <a:schemeClr val="bg1"/>
              </a:solidFill>
            </a:rPr>
            <a:t>1</a:t>
          </a:r>
        </a:p>
      </xdr:txBody>
    </xdr:sp>
    <xdr:clientData fPrintsWithSheet="0"/>
  </xdr:twoCellAnchor>
  <xdr:twoCellAnchor>
    <xdr:from>
      <xdr:col>49</xdr:col>
      <xdr:colOff>283952</xdr:colOff>
      <xdr:row>40</xdr:row>
      <xdr:rowOff>141975</xdr:rowOff>
    </xdr:from>
    <xdr:to>
      <xdr:col>50</xdr:col>
      <xdr:colOff>43914</xdr:colOff>
      <xdr:row>44</xdr:row>
      <xdr:rowOff>4277</xdr:rowOff>
    </xdr:to>
    <xdr:sp macro="" textlink="">
      <xdr:nvSpPr>
        <xdr:cNvPr id="38" name="Ellipse 37">
          <a:extLst>
            <a:ext uri="{FF2B5EF4-FFF2-40B4-BE49-F238E27FC236}">
              <a16:creationId xmlns:a16="http://schemas.microsoft.com/office/drawing/2014/main" id="{00000000-0008-0000-0000-000026000000}"/>
            </a:ext>
          </a:extLst>
        </xdr:cNvPr>
        <xdr:cNvSpPr/>
      </xdr:nvSpPr>
      <xdr:spPr>
        <a:xfrm>
          <a:off x="20507325" y="3438524"/>
          <a:ext cx="216000" cy="196950"/>
        </a:xfrm>
        <a:prstGeom prst="ellipse">
          <a:avLst/>
        </a:prstGeom>
        <a:solidFill>
          <a:srgbClr val="FF00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de-DE" sz="1100" b="1">
              <a:solidFill>
                <a:schemeClr val="bg1"/>
              </a:solidFill>
              <a:latin typeface="+mn-lt"/>
              <a:ea typeface="+mn-ea"/>
              <a:cs typeface="+mn-cs"/>
            </a:rPr>
            <a:t>1</a:t>
          </a:r>
        </a:p>
      </xdr:txBody>
    </xdr:sp>
    <xdr:clientData fPrintsWithSheet="0"/>
  </xdr:twoCellAnchor>
  <xdr:twoCellAnchor>
    <xdr:from>
      <xdr:col>15</xdr:col>
      <xdr:colOff>179177</xdr:colOff>
      <xdr:row>75</xdr:row>
      <xdr:rowOff>6828</xdr:rowOff>
    </xdr:from>
    <xdr:to>
      <xdr:col>16</xdr:col>
      <xdr:colOff>6544</xdr:colOff>
      <xdr:row>78</xdr:row>
      <xdr:rowOff>6919</xdr:rowOff>
    </xdr:to>
    <xdr:sp macro="" textlink="">
      <xdr:nvSpPr>
        <xdr:cNvPr id="40" name="Ellipse 39">
          <a:extLst>
            <a:ext uri="{FF2B5EF4-FFF2-40B4-BE49-F238E27FC236}">
              <a16:creationId xmlns:a16="http://schemas.microsoft.com/office/drawing/2014/main" id="{00000000-0008-0000-0000-000028000000}"/>
            </a:ext>
          </a:extLst>
        </xdr:cNvPr>
        <xdr:cNvSpPr/>
      </xdr:nvSpPr>
      <xdr:spPr>
        <a:xfrm>
          <a:off x="4248150" y="6172199"/>
          <a:ext cx="216000" cy="216000"/>
        </a:xfrm>
        <a:prstGeom prst="ellipse">
          <a:avLst/>
        </a:prstGeom>
        <a:solidFill>
          <a:srgbClr val="FF00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b="1">
              <a:solidFill>
                <a:schemeClr val="bg1"/>
              </a:solidFill>
            </a:rPr>
            <a:t>4</a:t>
          </a:r>
        </a:p>
      </xdr:txBody>
    </xdr:sp>
    <xdr:clientData fPrintsWithSheet="0"/>
  </xdr:twoCellAnchor>
  <xdr:twoCellAnchor>
    <xdr:from>
      <xdr:col>62</xdr:col>
      <xdr:colOff>367881</xdr:colOff>
      <xdr:row>49</xdr:row>
      <xdr:rowOff>7726</xdr:rowOff>
    </xdr:from>
    <xdr:to>
      <xdr:col>63</xdr:col>
      <xdr:colOff>128719</xdr:colOff>
      <xdr:row>52</xdr:row>
      <xdr:rowOff>16209</xdr:rowOff>
    </xdr:to>
    <xdr:sp macro="" textlink="">
      <xdr:nvSpPr>
        <xdr:cNvPr id="41" name="Ellipse 40">
          <a:extLst>
            <a:ext uri="{FF2B5EF4-FFF2-40B4-BE49-F238E27FC236}">
              <a16:creationId xmlns:a16="http://schemas.microsoft.com/office/drawing/2014/main" id="{00000000-0008-0000-0000-000029000000}"/>
            </a:ext>
          </a:extLst>
        </xdr:cNvPr>
        <xdr:cNvSpPr/>
      </xdr:nvSpPr>
      <xdr:spPr>
        <a:xfrm>
          <a:off x="23288625" y="3438524"/>
          <a:ext cx="216000" cy="216000"/>
        </a:xfrm>
        <a:prstGeom prst="ellipse">
          <a:avLst/>
        </a:prstGeom>
        <a:solidFill>
          <a:srgbClr val="FF00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b="1">
              <a:solidFill>
                <a:schemeClr val="bg1"/>
              </a:solidFill>
            </a:rPr>
            <a:t>4</a:t>
          </a:r>
        </a:p>
      </xdr:txBody>
    </xdr:sp>
    <xdr:clientData fPrintsWithSheet="0"/>
  </xdr:twoCellAnchor>
  <xdr:twoCellAnchor>
    <xdr:from>
      <xdr:col>0</xdr:col>
      <xdr:colOff>66676</xdr:colOff>
      <xdr:row>80</xdr:row>
      <xdr:rowOff>28335</xdr:rowOff>
    </xdr:from>
    <xdr:to>
      <xdr:col>3</xdr:col>
      <xdr:colOff>38205</xdr:colOff>
      <xdr:row>84</xdr:row>
      <xdr:rowOff>6418</xdr:rowOff>
    </xdr:to>
    <xdr:sp macro="" textlink="">
      <xdr:nvSpPr>
        <xdr:cNvPr id="42" name="Gleichschenkliges Dreieck 41">
          <a:extLst>
            <a:ext uri="{FF2B5EF4-FFF2-40B4-BE49-F238E27FC236}">
              <a16:creationId xmlns:a16="http://schemas.microsoft.com/office/drawing/2014/main" id="{00000000-0008-0000-0000-00002A000000}"/>
            </a:ext>
          </a:extLst>
        </xdr:cNvPr>
        <xdr:cNvSpPr/>
      </xdr:nvSpPr>
      <xdr:spPr>
        <a:xfrm>
          <a:off x="66676" y="6622751"/>
          <a:ext cx="699818" cy="316479"/>
        </a:xfrm>
        <a:prstGeom prst="triangle">
          <a:avLst/>
        </a:prstGeom>
        <a:solidFill>
          <a:schemeClr val="bg1">
            <a:lumMod val="7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xdr:from>
      <xdr:col>0</xdr:col>
      <xdr:colOff>66676</xdr:colOff>
      <xdr:row>16</xdr:row>
      <xdr:rowOff>38099</xdr:rowOff>
    </xdr:from>
    <xdr:to>
      <xdr:col>3</xdr:col>
      <xdr:colOff>38205</xdr:colOff>
      <xdr:row>19</xdr:row>
      <xdr:rowOff>20197</xdr:rowOff>
    </xdr:to>
    <xdr:sp macro="" textlink="">
      <xdr:nvSpPr>
        <xdr:cNvPr id="43" name="Gleichschenkliges Dreieck 42">
          <a:extLst>
            <a:ext uri="{FF2B5EF4-FFF2-40B4-BE49-F238E27FC236}">
              <a16:creationId xmlns:a16="http://schemas.microsoft.com/office/drawing/2014/main" id="{00000000-0008-0000-0000-00002B000000}"/>
            </a:ext>
          </a:extLst>
        </xdr:cNvPr>
        <xdr:cNvSpPr/>
      </xdr:nvSpPr>
      <xdr:spPr>
        <a:xfrm flipV="1">
          <a:off x="66676" y="1102083"/>
          <a:ext cx="699818" cy="316300"/>
        </a:xfrm>
        <a:prstGeom prst="triangle">
          <a:avLst/>
        </a:prstGeom>
        <a:solidFill>
          <a:schemeClr val="bg1">
            <a:lumMod val="7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mc:AlternateContent xmlns:mc="http://schemas.openxmlformats.org/markup-compatibility/2006">
    <mc:Choice xmlns:a14="http://schemas.microsoft.com/office/drawing/2010/main" Requires="a14">
      <xdr:twoCellAnchor>
        <xdr:from>
          <xdr:col>102</xdr:col>
          <xdr:colOff>47625</xdr:colOff>
          <xdr:row>59</xdr:row>
          <xdr:rowOff>0</xdr:rowOff>
        </xdr:from>
        <xdr:to>
          <xdr:col>102</xdr:col>
          <xdr:colOff>276225</xdr:colOff>
          <xdr:row>62</xdr:row>
          <xdr:rowOff>9525</xdr:rowOff>
        </xdr:to>
        <xdr:sp macro="" textlink="">
          <xdr:nvSpPr>
            <xdr:cNvPr id="6571932" name="Spinner 18332" hidden="1">
              <a:extLst>
                <a:ext uri="{63B3BB69-23CF-44E3-9099-C40C66FF867C}">
                  <a14:compatExt spid="_x0000_s6571932"/>
                </a:ext>
                <a:ext uri="{FF2B5EF4-FFF2-40B4-BE49-F238E27FC236}">
                  <a16:creationId xmlns:a16="http://schemas.microsoft.com/office/drawing/2014/main" id="{00000000-0008-0000-0000-00009C4764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85</xdr:col>
          <xdr:colOff>171450</xdr:colOff>
          <xdr:row>66</xdr:row>
          <xdr:rowOff>47625</xdr:rowOff>
        </xdr:from>
        <xdr:to>
          <xdr:col>85</xdr:col>
          <xdr:colOff>381000</xdr:colOff>
          <xdr:row>70</xdr:row>
          <xdr:rowOff>76200</xdr:rowOff>
        </xdr:to>
        <xdr:sp macro="" textlink="">
          <xdr:nvSpPr>
            <xdr:cNvPr id="8821715" name="Spinner 30675" hidden="1">
              <a:extLst>
                <a:ext uri="{63B3BB69-23CF-44E3-9099-C40C66FF867C}">
                  <a14:compatExt spid="_x0000_s8821715"/>
                </a:ext>
                <a:ext uri="{FF2B5EF4-FFF2-40B4-BE49-F238E27FC236}">
                  <a16:creationId xmlns:a16="http://schemas.microsoft.com/office/drawing/2014/main" id="{00000000-0008-0000-0000-0000D39B86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142875</xdr:colOff>
          <xdr:row>12</xdr:row>
          <xdr:rowOff>114300</xdr:rowOff>
        </xdr:from>
        <xdr:to>
          <xdr:col>9</xdr:col>
          <xdr:colOff>371475</xdr:colOff>
          <xdr:row>16</xdr:row>
          <xdr:rowOff>9525</xdr:rowOff>
        </xdr:to>
        <xdr:sp macro="" textlink="">
          <xdr:nvSpPr>
            <xdr:cNvPr id="9480980" name="Spinner 33556" hidden="1">
              <a:extLst>
                <a:ext uri="{63B3BB69-23CF-44E3-9099-C40C66FF867C}">
                  <a14:compatExt spid="_x0000_s9480980"/>
                </a:ext>
                <a:ext uri="{FF2B5EF4-FFF2-40B4-BE49-F238E27FC236}">
                  <a16:creationId xmlns:a16="http://schemas.microsoft.com/office/drawing/2014/main" id="{00000000-0008-0000-0000-000014AB9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381000</xdr:colOff>
          <xdr:row>62</xdr:row>
          <xdr:rowOff>123825</xdr:rowOff>
        </xdr:from>
        <xdr:to>
          <xdr:col>15</xdr:col>
          <xdr:colOff>200025</xdr:colOff>
          <xdr:row>65</xdr:row>
          <xdr:rowOff>28575</xdr:rowOff>
        </xdr:to>
        <xdr:sp macro="" textlink="">
          <xdr:nvSpPr>
            <xdr:cNvPr id="9921885" name="Spinner 35165" hidden="1">
              <a:extLst>
                <a:ext uri="{63B3BB69-23CF-44E3-9099-C40C66FF867C}">
                  <a14:compatExt spid="_x0000_s9921885"/>
                </a:ext>
                <a:ext uri="{FF2B5EF4-FFF2-40B4-BE49-F238E27FC236}">
                  <a16:creationId xmlns:a16="http://schemas.microsoft.com/office/drawing/2014/main" id="{00000000-0008-0000-0000-00005D6597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55</xdr:col>
      <xdr:colOff>0</xdr:colOff>
      <xdr:row>18</xdr:row>
      <xdr:rowOff>0</xdr:rowOff>
    </xdr:from>
    <xdr:to>
      <xdr:col>63</xdr:col>
      <xdr:colOff>724620</xdr:colOff>
      <xdr:row>119</xdr:row>
      <xdr:rowOff>86264</xdr:rowOff>
    </xdr:to>
    <xdr:pic>
      <xdr:nvPicPr>
        <xdr:cNvPr id="2" name="Picture 3">
          <a:extLst>
            <a:ext uri="{FF2B5EF4-FFF2-40B4-BE49-F238E27FC236}">
              <a16:creationId xmlns:a16="http://schemas.microsoft.com/office/drawing/2014/main" id="{00000000-0008-0000-0200-00009DFF9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805225" y="4219575"/>
          <a:ext cx="6830145" cy="22212839"/>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55</xdr:col>
      <xdr:colOff>0</xdr:colOff>
      <xdr:row>3</xdr:row>
      <xdr:rowOff>172528</xdr:rowOff>
    </xdr:from>
    <xdr:to>
      <xdr:col>62</xdr:col>
      <xdr:colOff>8625</xdr:colOff>
      <xdr:row>11</xdr:row>
      <xdr:rowOff>17253</xdr:rowOff>
    </xdr:to>
    <xdr:pic>
      <xdr:nvPicPr>
        <xdr:cNvPr id="3" name="Grafik 1">
          <a:extLst>
            <a:ext uri="{FF2B5EF4-FFF2-40B4-BE49-F238E27FC236}">
              <a16:creationId xmlns:a16="http://schemas.microsoft.com/office/drawing/2014/main" id="{00000000-0008-0000-0200-00009EFF9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805225" y="1115503"/>
          <a:ext cx="5475975" cy="159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557123</xdr:colOff>
      <xdr:row>20</xdr:row>
      <xdr:rowOff>172529</xdr:rowOff>
    </xdr:from>
    <xdr:to>
      <xdr:col>54</xdr:col>
      <xdr:colOff>329840</xdr:colOff>
      <xdr:row>22</xdr:row>
      <xdr:rowOff>67309</xdr:rowOff>
    </xdr:to>
    <xdr:cxnSp macro="">
      <xdr:nvCxnSpPr>
        <xdr:cNvPr id="4" name="Gerade Verbindung mit Pfeil 3">
          <a:extLst>
            <a:ext uri="{FF2B5EF4-FFF2-40B4-BE49-F238E27FC236}">
              <a16:creationId xmlns:a16="http://schemas.microsoft.com/office/drawing/2014/main" id="{00000000-0008-0000-0200-000007000000}"/>
            </a:ext>
          </a:extLst>
        </xdr:cNvPr>
        <xdr:cNvCxnSpPr/>
      </xdr:nvCxnSpPr>
      <xdr:spPr bwMode="auto">
        <a:xfrm flipV="1">
          <a:off x="39066698" y="4830254"/>
          <a:ext cx="2592117" cy="332930"/>
        </a:xfrm>
        <a:prstGeom prst="straightConnector1">
          <a:avLst/>
        </a:prstGeom>
        <a:ln>
          <a:headEnd type="none" w="med" len="med"/>
          <a:tailEnd type="arrow"/>
        </a:ln>
      </xdr:spPr>
      <xdr:style>
        <a:lnRef idx="3">
          <a:schemeClr val="accent2"/>
        </a:lnRef>
        <a:fillRef idx="0">
          <a:schemeClr val="accent2"/>
        </a:fillRef>
        <a:effectRef idx="2">
          <a:schemeClr val="accent2"/>
        </a:effectRef>
        <a:fontRef idx="minor">
          <a:schemeClr val="tx1"/>
        </a:fontRef>
      </xdr:style>
    </xdr:cxnSp>
    <xdr:clientData fPrintsWithSheet="0"/>
  </xdr:twoCellAnchor>
  <xdr:twoCellAnchor>
    <xdr:from>
      <xdr:col>53</xdr:col>
      <xdr:colOff>115020</xdr:colOff>
      <xdr:row>53</xdr:row>
      <xdr:rowOff>0</xdr:rowOff>
    </xdr:from>
    <xdr:to>
      <xdr:col>56</xdr:col>
      <xdr:colOff>644468</xdr:colOff>
      <xdr:row>83</xdr:row>
      <xdr:rowOff>86264</xdr:rowOff>
    </xdr:to>
    <xdr:cxnSp macro="">
      <xdr:nvCxnSpPr>
        <xdr:cNvPr id="5" name="Gerade Verbindung mit Pfeil 4">
          <a:extLst>
            <a:ext uri="{FF2B5EF4-FFF2-40B4-BE49-F238E27FC236}">
              <a16:creationId xmlns:a16="http://schemas.microsoft.com/office/drawing/2014/main" id="{00000000-0008-0000-0200-00000F000000}"/>
            </a:ext>
          </a:extLst>
        </xdr:cNvPr>
        <xdr:cNvCxnSpPr/>
      </xdr:nvCxnSpPr>
      <xdr:spPr bwMode="auto">
        <a:xfrm>
          <a:off x="41072520" y="11887200"/>
          <a:ext cx="2158223" cy="6658514"/>
        </a:xfrm>
        <a:prstGeom prst="straightConnector1">
          <a:avLst/>
        </a:prstGeom>
        <a:ln>
          <a:headEnd type="none" w="med" len="med"/>
          <a:tailEnd type="arrow"/>
        </a:ln>
      </xdr:spPr>
      <xdr:style>
        <a:lnRef idx="3">
          <a:schemeClr val="accent2"/>
        </a:lnRef>
        <a:fillRef idx="0">
          <a:schemeClr val="accent2"/>
        </a:fillRef>
        <a:effectRef idx="2">
          <a:schemeClr val="accent2"/>
        </a:effectRef>
        <a:fontRef idx="minor">
          <a:schemeClr val="tx1"/>
        </a:fontRef>
      </xdr:style>
    </xdr:cxnSp>
    <xdr:clientData fPrintsWithSheet="0"/>
  </xdr:twoCellAnchor>
  <xdr:twoCellAnchor>
    <xdr:from>
      <xdr:col>53</xdr:col>
      <xdr:colOff>99743</xdr:colOff>
      <xdr:row>21</xdr:row>
      <xdr:rowOff>172528</xdr:rowOff>
    </xdr:from>
    <xdr:to>
      <xdr:col>56</xdr:col>
      <xdr:colOff>573292</xdr:colOff>
      <xdr:row>52</xdr:row>
      <xdr:rowOff>15287</xdr:rowOff>
    </xdr:to>
    <xdr:cxnSp macro="">
      <xdr:nvCxnSpPr>
        <xdr:cNvPr id="6" name="Gerade Verbindung mit Pfeil 5">
          <a:extLst>
            <a:ext uri="{FF2B5EF4-FFF2-40B4-BE49-F238E27FC236}">
              <a16:creationId xmlns:a16="http://schemas.microsoft.com/office/drawing/2014/main" id="{00000000-0008-0000-0200-000011000000}"/>
            </a:ext>
          </a:extLst>
        </xdr:cNvPr>
        <xdr:cNvCxnSpPr/>
      </xdr:nvCxnSpPr>
      <xdr:spPr bwMode="auto">
        <a:xfrm flipV="1">
          <a:off x="41057243" y="5049328"/>
          <a:ext cx="2102324" cy="6634084"/>
        </a:xfrm>
        <a:prstGeom prst="straightConnector1">
          <a:avLst/>
        </a:prstGeom>
        <a:ln>
          <a:headEnd type="none" w="med" len="med"/>
          <a:tailEnd type="arrow"/>
        </a:ln>
      </xdr:spPr>
      <xdr:style>
        <a:lnRef idx="3">
          <a:schemeClr val="accent2"/>
        </a:lnRef>
        <a:fillRef idx="0">
          <a:schemeClr val="accent2"/>
        </a:fillRef>
        <a:effectRef idx="2">
          <a:schemeClr val="accent2"/>
        </a:effectRef>
        <a:fontRef idx="minor">
          <a:schemeClr val="tx1"/>
        </a:fontRef>
      </xdr:style>
    </xdr:cxnSp>
    <xdr:clientData fPrintsWithSheet="0"/>
  </xdr:twoCellAnchor>
  <xdr:twoCellAnchor editAs="oneCell">
    <xdr:from>
      <xdr:col>35</xdr:col>
      <xdr:colOff>1076963</xdr:colOff>
      <xdr:row>5</xdr:row>
      <xdr:rowOff>0</xdr:rowOff>
    </xdr:from>
    <xdr:to>
      <xdr:col>44</xdr:col>
      <xdr:colOff>2575</xdr:colOff>
      <xdr:row>80</xdr:row>
      <xdr:rowOff>215659</xdr:rowOff>
    </xdr:to>
    <xdr:pic>
      <xdr:nvPicPr>
        <xdr:cNvPr id="7" name="Grafik 6">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stretch>
          <a:fillRect/>
        </a:stretch>
      </xdr:blipFill>
      <xdr:spPr>
        <a:xfrm>
          <a:off x="25508588" y="1381125"/>
          <a:ext cx="8307737" cy="16636759"/>
        </a:xfrm>
        <a:prstGeom prst="rect">
          <a:avLst/>
        </a:prstGeom>
      </xdr:spPr>
    </xdr:pic>
    <xdr:clientData/>
  </xdr:twoCellAnchor>
  <xdr:twoCellAnchor editAs="oneCell">
    <xdr:from>
      <xdr:col>23</xdr:col>
      <xdr:colOff>0</xdr:colOff>
      <xdr:row>6</xdr:row>
      <xdr:rowOff>0</xdr:rowOff>
    </xdr:from>
    <xdr:to>
      <xdr:col>34</xdr:col>
      <xdr:colOff>0</xdr:colOff>
      <xdr:row>123</xdr:row>
      <xdr:rowOff>87475</xdr:rowOff>
    </xdr:to>
    <xdr:pic>
      <xdr:nvPicPr>
        <xdr:cNvPr id="8" name="Grafik 7">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4"/>
        <a:stretch>
          <a:fillRect/>
        </a:stretch>
      </xdr:blipFill>
      <xdr:spPr>
        <a:xfrm>
          <a:off x="16792575" y="1600200"/>
          <a:ext cx="8372475" cy="25709725"/>
        </a:xfrm>
        <a:prstGeom prst="rect">
          <a:avLst/>
        </a:prstGeom>
      </xdr:spPr>
    </xdr:pic>
    <xdr:clientData/>
  </xdr:twoCellAnchor>
  <xdr:twoCellAnchor editAs="oneCell">
    <xdr:from>
      <xdr:col>9</xdr:col>
      <xdr:colOff>0</xdr:colOff>
      <xdr:row>5</xdr:row>
      <xdr:rowOff>0</xdr:rowOff>
    </xdr:from>
    <xdr:to>
      <xdr:col>20</xdr:col>
      <xdr:colOff>730249</xdr:colOff>
      <xdr:row>166</xdr:row>
      <xdr:rowOff>138370</xdr:rowOff>
    </xdr:to>
    <xdr:pic>
      <xdr:nvPicPr>
        <xdr:cNvPr id="11" name="Grafik 10"/>
        <xdr:cNvPicPr>
          <a:picLocks noChangeAspect="1"/>
        </xdr:cNvPicPr>
      </xdr:nvPicPr>
      <xdr:blipFill>
        <a:blip xmlns:r="http://schemas.openxmlformats.org/officeDocument/2006/relationships" r:embed="rId5"/>
        <a:stretch>
          <a:fillRect/>
        </a:stretch>
      </xdr:blipFill>
      <xdr:spPr>
        <a:xfrm>
          <a:off x="7604125" y="1397000"/>
          <a:ext cx="8762999" cy="357142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66676</xdr:colOff>
      <xdr:row>64</xdr:row>
      <xdr:rowOff>9165</xdr:rowOff>
    </xdr:from>
    <xdr:to>
      <xdr:col>3</xdr:col>
      <xdr:colOff>47626</xdr:colOff>
      <xdr:row>67</xdr:row>
      <xdr:rowOff>124362</xdr:rowOff>
    </xdr:to>
    <xdr:sp macro="" textlink="">
      <xdr:nvSpPr>
        <xdr:cNvPr id="2" name="Gleichschenkliges Dreieck 1">
          <a:extLst>
            <a:ext uri="{FF2B5EF4-FFF2-40B4-BE49-F238E27FC236}">
              <a16:creationId xmlns:a16="http://schemas.microsoft.com/office/drawing/2014/main" id="{00000000-0008-0000-0300-000002000000}"/>
            </a:ext>
          </a:extLst>
        </xdr:cNvPr>
        <xdr:cNvSpPr/>
      </xdr:nvSpPr>
      <xdr:spPr>
        <a:xfrm>
          <a:off x="66676" y="6555656"/>
          <a:ext cx="699818" cy="316479"/>
        </a:xfrm>
        <a:prstGeom prst="triangle">
          <a:avLst/>
        </a:prstGeom>
        <a:solidFill>
          <a:schemeClr val="bg1">
            <a:lumMod val="7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xdr:from>
      <xdr:col>0</xdr:col>
      <xdr:colOff>66676</xdr:colOff>
      <xdr:row>9</xdr:row>
      <xdr:rowOff>237226</xdr:rowOff>
    </xdr:from>
    <xdr:to>
      <xdr:col>3</xdr:col>
      <xdr:colOff>47626</xdr:colOff>
      <xdr:row>10</xdr:row>
      <xdr:rowOff>219179</xdr:rowOff>
    </xdr:to>
    <xdr:sp macro="" textlink="">
      <xdr:nvSpPr>
        <xdr:cNvPr id="3" name="Gleichschenkliges Dreieck 2">
          <a:extLst>
            <a:ext uri="{FF2B5EF4-FFF2-40B4-BE49-F238E27FC236}">
              <a16:creationId xmlns:a16="http://schemas.microsoft.com/office/drawing/2014/main" id="{00000000-0008-0000-0300-000003000000}"/>
            </a:ext>
          </a:extLst>
        </xdr:cNvPr>
        <xdr:cNvSpPr/>
      </xdr:nvSpPr>
      <xdr:spPr>
        <a:xfrm flipV="1">
          <a:off x="66676" y="1085850"/>
          <a:ext cx="666750" cy="314325"/>
        </a:xfrm>
        <a:prstGeom prst="triangle">
          <a:avLst/>
        </a:prstGeom>
        <a:solidFill>
          <a:schemeClr val="bg1">
            <a:lumMod val="7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xdr:from>
      <xdr:col>23</xdr:col>
      <xdr:colOff>0</xdr:colOff>
      <xdr:row>27</xdr:row>
      <xdr:rowOff>0</xdr:rowOff>
    </xdr:from>
    <xdr:to>
      <xdr:col>39</xdr:col>
      <xdr:colOff>0</xdr:colOff>
      <xdr:row>51</xdr:row>
      <xdr:rowOff>0</xdr:rowOff>
    </xdr:to>
    <xdr:graphicFrame macro="">
      <xdr:nvGraphicFramePr>
        <xdr:cNvPr id="10494106" name="Diagramm 1">
          <a:extLst>
            <a:ext uri="{FF2B5EF4-FFF2-40B4-BE49-F238E27FC236}">
              <a16:creationId xmlns:a16="http://schemas.microsoft.com/office/drawing/2014/main" id="{00000000-0008-0000-0300-00009A20A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86264</xdr:colOff>
      <xdr:row>29</xdr:row>
      <xdr:rowOff>25879</xdr:rowOff>
    </xdr:from>
    <xdr:to>
      <xdr:col>27</xdr:col>
      <xdr:colOff>301925</xdr:colOff>
      <xdr:row>35</xdr:row>
      <xdr:rowOff>77638</xdr:rowOff>
    </xdr:to>
    <xdr:grpSp>
      <xdr:nvGrpSpPr>
        <xdr:cNvPr id="10494107" name="Group 10">
          <a:extLst>
            <a:ext uri="{FF2B5EF4-FFF2-40B4-BE49-F238E27FC236}">
              <a16:creationId xmlns:a16="http://schemas.microsoft.com/office/drawing/2014/main" id="{00000000-0008-0000-0300-00009B20A000}"/>
            </a:ext>
          </a:extLst>
        </xdr:cNvPr>
        <xdr:cNvGrpSpPr>
          <a:grpSpLocks/>
        </xdr:cNvGrpSpPr>
      </xdr:nvGrpSpPr>
      <xdr:grpSpPr bwMode="auto">
        <a:xfrm>
          <a:off x="6456108" y="3431067"/>
          <a:ext cx="596661" cy="551821"/>
          <a:chOff x="618" y="84"/>
          <a:chExt cx="74" cy="75"/>
        </a:xfrm>
      </xdr:grpSpPr>
      <xdr:sp macro="" textlink="">
        <xdr:nvSpPr>
          <xdr:cNvPr id="10494114" name="Line 8">
            <a:extLst>
              <a:ext uri="{FF2B5EF4-FFF2-40B4-BE49-F238E27FC236}">
                <a16:creationId xmlns:a16="http://schemas.microsoft.com/office/drawing/2014/main" id="{00000000-0008-0000-0300-0000A220A000}"/>
              </a:ext>
            </a:extLst>
          </xdr:cNvPr>
          <xdr:cNvSpPr>
            <a:spLocks noChangeShapeType="1"/>
          </xdr:cNvSpPr>
        </xdr:nvSpPr>
        <xdr:spPr bwMode="auto">
          <a:xfrm>
            <a:off x="630" y="124"/>
            <a:ext cx="0" cy="3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0494115" name="Line 4">
            <a:extLst>
              <a:ext uri="{FF2B5EF4-FFF2-40B4-BE49-F238E27FC236}">
                <a16:creationId xmlns:a16="http://schemas.microsoft.com/office/drawing/2014/main" id="{00000000-0008-0000-0300-0000A320A000}"/>
              </a:ext>
            </a:extLst>
          </xdr:cNvPr>
          <xdr:cNvSpPr>
            <a:spLocks noChangeShapeType="1"/>
          </xdr:cNvSpPr>
        </xdr:nvSpPr>
        <xdr:spPr bwMode="auto">
          <a:xfrm>
            <a:off x="638" y="122"/>
            <a:ext cx="16" cy="37"/>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0494116" name="Line 6">
            <a:extLst>
              <a:ext uri="{FF2B5EF4-FFF2-40B4-BE49-F238E27FC236}">
                <a16:creationId xmlns:a16="http://schemas.microsoft.com/office/drawing/2014/main" id="{00000000-0008-0000-0300-0000A420A000}"/>
              </a:ext>
            </a:extLst>
          </xdr:cNvPr>
          <xdr:cNvSpPr>
            <a:spLocks noChangeShapeType="1"/>
          </xdr:cNvSpPr>
        </xdr:nvSpPr>
        <xdr:spPr bwMode="auto">
          <a:xfrm>
            <a:off x="647" y="119"/>
            <a:ext cx="33" cy="39"/>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0494117" name="Line 7">
            <a:extLst>
              <a:ext uri="{FF2B5EF4-FFF2-40B4-BE49-F238E27FC236}">
                <a16:creationId xmlns:a16="http://schemas.microsoft.com/office/drawing/2014/main" id="{00000000-0008-0000-0300-0000A520A000}"/>
              </a:ext>
            </a:extLst>
          </xdr:cNvPr>
          <xdr:cNvSpPr>
            <a:spLocks noChangeShapeType="1"/>
          </xdr:cNvSpPr>
        </xdr:nvSpPr>
        <xdr:spPr bwMode="auto">
          <a:xfrm>
            <a:off x="656" y="113"/>
            <a:ext cx="34" cy="27"/>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0494118" name="Line 9">
            <a:extLst>
              <a:ext uri="{FF2B5EF4-FFF2-40B4-BE49-F238E27FC236}">
                <a16:creationId xmlns:a16="http://schemas.microsoft.com/office/drawing/2014/main" id="{00000000-0008-0000-0300-0000A620A000}"/>
              </a:ext>
            </a:extLst>
          </xdr:cNvPr>
          <xdr:cNvSpPr>
            <a:spLocks noChangeShapeType="1"/>
          </xdr:cNvSpPr>
        </xdr:nvSpPr>
        <xdr:spPr bwMode="auto">
          <a:xfrm>
            <a:off x="658" y="103"/>
            <a:ext cx="34" cy="12"/>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0494119" name="Oval 3">
            <a:extLst>
              <a:ext uri="{FF2B5EF4-FFF2-40B4-BE49-F238E27FC236}">
                <a16:creationId xmlns:a16="http://schemas.microsoft.com/office/drawing/2014/main" id="{00000000-0008-0000-0300-0000A720A000}"/>
              </a:ext>
            </a:extLst>
          </xdr:cNvPr>
          <xdr:cNvSpPr>
            <a:spLocks noChangeArrowheads="1"/>
          </xdr:cNvSpPr>
        </xdr:nvSpPr>
        <xdr:spPr bwMode="auto">
          <a:xfrm>
            <a:off x="618" y="84"/>
            <a:ext cx="34" cy="34"/>
          </a:xfrm>
          <a:prstGeom prst="ellipse">
            <a:avLst/>
          </a:prstGeom>
          <a:gradFill rotWithShape="0">
            <a:gsLst>
              <a:gs pos="0">
                <a:srgbClr val="FF3300"/>
              </a:gs>
              <a:gs pos="100000">
                <a:srgbClr val="FFE1D9"/>
              </a:gs>
            </a:gsLst>
            <a:lin ang="2700000" scaled="1"/>
          </a:gradFill>
          <a:ln w="9525">
            <a:solidFill>
              <a:srgbClr val="000000"/>
            </a:solidFill>
            <a:round/>
            <a:headEnd/>
            <a:tailEnd/>
          </a:ln>
        </xdr:spPr>
      </xdr:sp>
    </xdr:grpSp>
    <xdr:clientData/>
  </xdr:twoCellAnchor>
  <xdr:twoCellAnchor>
    <xdr:from>
      <xdr:col>23</xdr:col>
      <xdr:colOff>43132</xdr:colOff>
      <xdr:row>51</xdr:row>
      <xdr:rowOff>51758</xdr:rowOff>
    </xdr:from>
    <xdr:to>
      <xdr:col>24</xdr:col>
      <xdr:colOff>77638</xdr:colOff>
      <xdr:row>55</xdr:row>
      <xdr:rowOff>112143</xdr:rowOff>
    </xdr:to>
    <xdr:grpSp>
      <xdr:nvGrpSpPr>
        <xdr:cNvPr id="10494108" name="Gruppieren 8">
          <a:extLst>
            <a:ext uri="{FF2B5EF4-FFF2-40B4-BE49-F238E27FC236}">
              <a16:creationId xmlns:a16="http://schemas.microsoft.com/office/drawing/2014/main" id="{00000000-0008-0000-0300-00009C20A000}"/>
            </a:ext>
          </a:extLst>
        </xdr:cNvPr>
        <xdr:cNvGrpSpPr>
          <a:grpSpLocks/>
        </xdr:cNvGrpSpPr>
      </xdr:nvGrpSpPr>
      <xdr:grpSpPr bwMode="auto">
        <a:xfrm>
          <a:off x="5793851" y="5290508"/>
          <a:ext cx="153568" cy="393760"/>
          <a:chOff x="7553325" y="4953000"/>
          <a:chExt cx="152400" cy="428625"/>
        </a:xfrm>
      </xdr:grpSpPr>
      <xdr:cxnSp macro="">
        <xdr:nvCxnSpPr>
          <xdr:cNvPr id="13" name="Gerade Verbindung 12">
            <a:extLst>
              <a:ext uri="{FF2B5EF4-FFF2-40B4-BE49-F238E27FC236}">
                <a16:creationId xmlns:a16="http://schemas.microsoft.com/office/drawing/2014/main" id="{00000000-0008-0000-0300-00000D000000}"/>
              </a:ext>
            </a:extLst>
          </xdr:cNvPr>
          <xdr:cNvCxnSpPr/>
        </xdr:nvCxnSpPr>
        <xdr:spPr>
          <a:xfrm>
            <a:off x="7629525" y="4953000"/>
            <a:ext cx="0" cy="419506"/>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4" name="Ellipse 13">
            <a:extLst>
              <a:ext uri="{FF2B5EF4-FFF2-40B4-BE49-F238E27FC236}">
                <a16:creationId xmlns:a16="http://schemas.microsoft.com/office/drawing/2014/main" id="{00000000-0008-0000-0300-00000E000000}"/>
              </a:ext>
            </a:extLst>
          </xdr:cNvPr>
          <xdr:cNvSpPr/>
        </xdr:nvSpPr>
        <xdr:spPr>
          <a:xfrm>
            <a:off x="7570258" y="5098914"/>
            <a:ext cx="126999" cy="136795"/>
          </a:xfrm>
          <a:prstGeom prst="ellipse">
            <a:avLst/>
          </a:prstGeom>
          <a:solidFill>
            <a:srgbClr val="FFFF00"/>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sp macro="" textlink="">
        <xdr:nvSpPr>
          <xdr:cNvPr id="15" name="Rechteck 14">
            <a:extLst>
              <a:ext uri="{FF2B5EF4-FFF2-40B4-BE49-F238E27FC236}">
                <a16:creationId xmlns:a16="http://schemas.microsoft.com/office/drawing/2014/main" id="{00000000-0008-0000-0300-00000F000000}"/>
              </a:ext>
            </a:extLst>
          </xdr:cNvPr>
          <xdr:cNvSpPr/>
        </xdr:nvSpPr>
        <xdr:spPr>
          <a:xfrm>
            <a:off x="7553325" y="4953000"/>
            <a:ext cx="152400" cy="45598"/>
          </a:xfrm>
          <a:prstGeom prst="rect">
            <a:avLst/>
          </a:prstGeom>
          <a:solidFill>
            <a:srgbClr val="00FF00"/>
          </a:solidFill>
          <a:ln w="952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sp macro="" textlink="">
        <xdr:nvSpPr>
          <xdr:cNvPr id="16" name="Rechteck 15">
            <a:extLst>
              <a:ext uri="{FF2B5EF4-FFF2-40B4-BE49-F238E27FC236}">
                <a16:creationId xmlns:a16="http://schemas.microsoft.com/office/drawing/2014/main" id="{00000000-0008-0000-0300-000010000000}"/>
              </a:ext>
            </a:extLst>
          </xdr:cNvPr>
          <xdr:cNvSpPr/>
        </xdr:nvSpPr>
        <xdr:spPr>
          <a:xfrm>
            <a:off x="7553325" y="5336027"/>
            <a:ext cx="152400" cy="45598"/>
          </a:xfrm>
          <a:prstGeom prst="rect">
            <a:avLst/>
          </a:prstGeom>
          <a:solidFill>
            <a:srgbClr val="FF0000"/>
          </a:solidFill>
          <a:ln w="9525">
            <a:solidFill>
              <a:srgbClr val="8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grpSp>
    <xdr:clientData/>
  </xdr:twoCellAnchor>
  <xdr:twoCellAnchor>
    <xdr:from>
      <xdr:col>23</xdr:col>
      <xdr:colOff>0</xdr:colOff>
      <xdr:row>104</xdr:row>
      <xdr:rowOff>8626</xdr:rowOff>
    </xdr:from>
    <xdr:to>
      <xdr:col>39</xdr:col>
      <xdr:colOff>25879</xdr:colOff>
      <xdr:row>134</xdr:row>
      <xdr:rowOff>0</xdr:rowOff>
    </xdr:to>
    <xdr:graphicFrame macro="">
      <xdr:nvGraphicFramePr>
        <xdr:cNvPr id="10494109" name="Diagramm 40">
          <a:extLst>
            <a:ext uri="{FF2B5EF4-FFF2-40B4-BE49-F238E27FC236}">
              <a16:creationId xmlns:a16="http://schemas.microsoft.com/office/drawing/2014/main" id="{00000000-0008-0000-0300-00009D20A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25879</xdr:colOff>
      <xdr:row>38</xdr:row>
      <xdr:rowOff>43132</xdr:rowOff>
    </xdr:from>
    <xdr:to>
      <xdr:col>17</xdr:col>
      <xdr:colOff>8626</xdr:colOff>
      <xdr:row>52</xdr:row>
      <xdr:rowOff>0</xdr:rowOff>
    </xdr:to>
    <xdr:pic>
      <xdr:nvPicPr>
        <xdr:cNvPr id="10400985" name="Grafik 10">
          <a:extLst>
            <a:ext uri="{FF2B5EF4-FFF2-40B4-BE49-F238E27FC236}">
              <a16:creationId xmlns:a16="http://schemas.microsoft.com/office/drawing/2014/main" id="{00000000-0008-0000-0500-0000D9B49E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06906" y="6961517"/>
          <a:ext cx="577969" cy="2493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8626</xdr:colOff>
      <xdr:row>50</xdr:row>
      <xdr:rowOff>86264</xdr:rowOff>
    </xdr:from>
    <xdr:to>
      <xdr:col>25</xdr:col>
      <xdr:colOff>543464</xdr:colOff>
      <xdr:row>53</xdr:row>
      <xdr:rowOff>94891</xdr:rowOff>
    </xdr:to>
    <xdr:pic>
      <xdr:nvPicPr>
        <xdr:cNvPr id="10400986" name="Grafik 11">
          <a:extLst>
            <a:ext uri="{FF2B5EF4-FFF2-40B4-BE49-F238E27FC236}">
              <a16:creationId xmlns:a16="http://schemas.microsoft.com/office/drawing/2014/main" id="{00000000-0008-0000-0500-0000DAB49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06642" y="9178506"/>
          <a:ext cx="1673524" cy="552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25879</xdr:colOff>
      <xdr:row>38</xdr:row>
      <xdr:rowOff>103517</xdr:rowOff>
    </xdr:from>
    <xdr:to>
      <xdr:col>5</xdr:col>
      <xdr:colOff>17253</xdr:colOff>
      <xdr:row>52</xdr:row>
      <xdr:rowOff>0</xdr:rowOff>
    </xdr:to>
    <xdr:pic>
      <xdr:nvPicPr>
        <xdr:cNvPr id="10400987" name="Grafik 11">
          <a:extLst>
            <a:ext uri="{FF2B5EF4-FFF2-40B4-BE49-F238E27FC236}">
              <a16:creationId xmlns:a16="http://schemas.microsoft.com/office/drawing/2014/main" id="{00000000-0008-0000-0500-0000DBB49E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5449" y="7021902"/>
          <a:ext cx="586596" cy="2432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25879</xdr:colOff>
      <xdr:row>38</xdr:row>
      <xdr:rowOff>103517</xdr:rowOff>
    </xdr:from>
    <xdr:to>
      <xdr:col>8</xdr:col>
      <xdr:colOff>8626</xdr:colOff>
      <xdr:row>52</xdr:row>
      <xdr:rowOff>0</xdr:rowOff>
    </xdr:to>
    <xdr:pic>
      <xdr:nvPicPr>
        <xdr:cNvPr id="10400988" name="Grafik 12">
          <a:extLst>
            <a:ext uri="{FF2B5EF4-FFF2-40B4-BE49-F238E27FC236}">
              <a16:creationId xmlns:a16="http://schemas.microsoft.com/office/drawing/2014/main" id="{00000000-0008-0000-0500-0000DCB49E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85072" y="7021902"/>
          <a:ext cx="577970" cy="2432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25879</xdr:colOff>
      <xdr:row>38</xdr:row>
      <xdr:rowOff>103517</xdr:rowOff>
    </xdr:from>
    <xdr:to>
      <xdr:col>11</xdr:col>
      <xdr:colOff>8626</xdr:colOff>
      <xdr:row>52</xdr:row>
      <xdr:rowOff>0</xdr:rowOff>
    </xdr:to>
    <xdr:pic>
      <xdr:nvPicPr>
        <xdr:cNvPr id="10400989" name="Grafik 13">
          <a:extLst>
            <a:ext uri="{FF2B5EF4-FFF2-40B4-BE49-F238E27FC236}">
              <a16:creationId xmlns:a16="http://schemas.microsoft.com/office/drawing/2014/main" id="{00000000-0008-0000-0500-0000DDB49E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94694" y="7021902"/>
          <a:ext cx="577970" cy="2432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25879</xdr:colOff>
      <xdr:row>6</xdr:row>
      <xdr:rowOff>34506</xdr:rowOff>
    </xdr:from>
    <xdr:to>
      <xdr:col>26</xdr:col>
      <xdr:colOff>17253</xdr:colOff>
      <xdr:row>20</xdr:row>
      <xdr:rowOff>112143</xdr:rowOff>
    </xdr:to>
    <xdr:pic>
      <xdr:nvPicPr>
        <xdr:cNvPr id="10400990" name="Grafik 15">
          <a:extLst>
            <a:ext uri="{FF2B5EF4-FFF2-40B4-BE49-F238E27FC236}">
              <a16:creationId xmlns:a16="http://schemas.microsoft.com/office/drawing/2014/main" id="{00000000-0008-0000-0500-0000DEB49E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162581" y="1026543"/>
          <a:ext cx="586596" cy="2708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25879</xdr:colOff>
      <xdr:row>38</xdr:row>
      <xdr:rowOff>103517</xdr:rowOff>
    </xdr:from>
    <xdr:to>
      <xdr:col>20</xdr:col>
      <xdr:colOff>8626</xdr:colOff>
      <xdr:row>52</xdr:row>
      <xdr:rowOff>0</xdr:rowOff>
    </xdr:to>
    <xdr:pic>
      <xdr:nvPicPr>
        <xdr:cNvPr id="10400991" name="Grafik 13">
          <a:extLst>
            <a:ext uri="{FF2B5EF4-FFF2-40B4-BE49-F238E27FC236}">
              <a16:creationId xmlns:a16="http://schemas.microsoft.com/office/drawing/2014/main" id="{00000000-0008-0000-0500-0000DFB49E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33449" y="7021902"/>
          <a:ext cx="577970" cy="2432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34506</xdr:colOff>
      <xdr:row>38</xdr:row>
      <xdr:rowOff>103517</xdr:rowOff>
    </xdr:from>
    <xdr:to>
      <xdr:col>14</xdr:col>
      <xdr:colOff>17253</xdr:colOff>
      <xdr:row>52</xdr:row>
      <xdr:rowOff>0</xdr:rowOff>
    </xdr:to>
    <xdr:pic>
      <xdr:nvPicPr>
        <xdr:cNvPr id="10400992" name="Grafik 13">
          <a:extLst>
            <a:ext uri="{FF2B5EF4-FFF2-40B4-BE49-F238E27FC236}">
              <a16:creationId xmlns:a16="http://schemas.microsoft.com/office/drawing/2014/main" id="{00000000-0008-0000-0500-0000E0B49E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12943" y="7021902"/>
          <a:ext cx="577970" cy="2432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77638</xdr:colOff>
      <xdr:row>1</xdr:row>
      <xdr:rowOff>0</xdr:rowOff>
    </xdr:from>
    <xdr:to>
      <xdr:col>31</xdr:col>
      <xdr:colOff>0</xdr:colOff>
      <xdr:row>38</xdr:row>
      <xdr:rowOff>0</xdr:rowOff>
    </xdr:to>
    <xdr:graphicFrame macro="">
      <xdr:nvGraphicFramePr>
        <xdr:cNvPr id="10043047" name="Diagramm 2">
          <a:extLst>
            <a:ext uri="{FF2B5EF4-FFF2-40B4-BE49-F238E27FC236}">
              <a16:creationId xmlns:a16="http://schemas.microsoft.com/office/drawing/2014/main" id="{00000000-0008-0000-0600-0000A73E9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189781</xdr:colOff>
      <xdr:row>8</xdr:row>
      <xdr:rowOff>8626</xdr:rowOff>
    </xdr:from>
    <xdr:to>
      <xdr:col>19</xdr:col>
      <xdr:colOff>241540</xdr:colOff>
      <xdr:row>11</xdr:row>
      <xdr:rowOff>77638</xdr:rowOff>
    </xdr:to>
    <xdr:sp macro="" textlink="">
      <xdr:nvSpPr>
        <xdr:cNvPr id="10043048" name="Oval 3">
          <a:extLst>
            <a:ext uri="{FF2B5EF4-FFF2-40B4-BE49-F238E27FC236}">
              <a16:creationId xmlns:a16="http://schemas.microsoft.com/office/drawing/2014/main" id="{00000000-0008-0000-0600-0000A83E9900}"/>
            </a:ext>
          </a:extLst>
        </xdr:cNvPr>
        <xdr:cNvSpPr>
          <a:spLocks noChangeArrowheads="1"/>
        </xdr:cNvSpPr>
      </xdr:nvSpPr>
      <xdr:spPr bwMode="auto">
        <a:xfrm>
          <a:off x="4917057" y="750498"/>
          <a:ext cx="301924" cy="276045"/>
        </a:xfrm>
        <a:prstGeom prst="ellipse">
          <a:avLst/>
        </a:prstGeom>
        <a:gradFill rotWithShape="0">
          <a:gsLst>
            <a:gs pos="0">
              <a:srgbClr val="FF3300"/>
            </a:gs>
            <a:gs pos="100000">
              <a:srgbClr val="FFE1D9"/>
            </a:gs>
          </a:gsLst>
          <a:lin ang="2700000" scaled="1"/>
        </a:gradFill>
        <a:ln w="9525">
          <a:solidFill>
            <a:srgbClr val="000000"/>
          </a:solidFill>
          <a:round/>
          <a:headEnd/>
          <a:tailEnd/>
        </a:ln>
      </xdr:spPr>
    </xdr:sp>
    <xdr:clientData/>
  </xdr:twoCellAnchor>
  <xdr:twoCellAnchor>
    <xdr:from>
      <xdr:col>19</xdr:col>
      <xdr:colOff>120770</xdr:colOff>
      <xdr:row>11</xdr:row>
      <xdr:rowOff>112143</xdr:rowOff>
    </xdr:from>
    <xdr:to>
      <xdr:col>20</xdr:col>
      <xdr:colOff>0</xdr:colOff>
      <xdr:row>15</xdr:row>
      <xdr:rowOff>103517</xdr:rowOff>
    </xdr:to>
    <xdr:sp macro="" textlink="">
      <xdr:nvSpPr>
        <xdr:cNvPr id="10043049" name="Line 4">
          <a:extLst>
            <a:ext uri="{FF2B5EF4-FFF2-40B4-BE49-F238E27FC236}">
              <a16:creationId xmlns:a16="http://schemas.microsoft.com/office/drawing/2014/main" id="{00000000-0008-0000-0600-0000A93E9900}"/>
            </a:ext>
          </a:extLst>
        </xdr:cNvPr>
        <xdr:cNvSpPr>
          <a:spLocks noChangeShapeType="1"/>
        </xdr:cNvSpPr>
      </xdr:nvSpPr>
      <xdr:spPr bwMode="auto">
        <a:xfrm>
          <a:off x="5098211" y="1061049"/>
          <a:ext cx="129397" cy="35368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189781</xdr:colOff>
      <xdr:row>11</xdr:row>
      <xdr:rowOff>86264</xdr:rowOff>
    </xdr:from>
    <xdr:to>
      <xdr:col>20</xdr:col>
      <xdr:colOff>198408</xdr:colOff>
      <xdr:row>15</xdr:row>
      <xdr:rowOff>94891</xdr:rowOff>
    </xdr:to>
    <xdr:sp macro="" textlink="">
      <xdr:nvSpPr>
        <xdr:cNvPr id="10043050" name="Line 6">
          <a:extLst>
            <a:ext uri="{FF2B5EF4-FFF2-40B4-BE49-F238E27FC236}">
              <a16:creationId xmlns:a16="http://schemas.microsoft.com/office/drawing/2014/main" id="{00000000-0008-0000-0600-0000AA3E9900}"/>
            </a:ext>
          </a:extLst>
        </xdr:cNvPr>
        <xdr:cNvSpPr>
          <a:spLocks noChangeShapeType="1"/>
        </xdr:cNvSpPr>
      </xdr:nvSpPr>
      <xdr:spPr bwMode="auto">
        <a:xfrm>
          <a:off x="5167223" y="1035170"/>
          <a:ext cx="258792" cy="370936"/>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17253</xdr:colOff>
      <xdr:row>11</xdr:row>
      <xdr:rowOff>17253</xdr:rowOff>
    </xdr:from>
    <xdr:to>
      <xdr:col>21</xdr:col>
      <xdr:colOff>25879</xdr:colOff>
      <xdr:row>13</xdr:row>
      <xdr:rowOff>94891</xdr:rowOff>
    </xdr:to>
    <xdr:sp macro="" textlink="">
      <xdr:nvSpPr>
        <xdr:cNvPr id="10043051" name="Line 7">
          <a:extLst>
            <a:ext uri="{FF2B5EF4-FFF2-40B4-BE49-F238E27FC236}">
              <a16:creationId xmlns:a16="http://schemas.microsoft.com/office/drawing/2014/main" id="{00000000-0008-0000-0600-0000AB3E9900}"/>
            </a:ext>
          </a:extLst>
        </xdr:cNvPr>
        <xdr:cNvSpPr>
          <a:spLocks noChangeShapeType="1"/>
        </xdr:cNvSpPr>
      </xdr:nvSpPr>
      <xdr:spPr bwMode="auto">
        <a:xfrm>
          <a:off x="5244860" y="966158"/>
          <a:ext cx="258793" cy="25879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43132</xdr:colOff>
      <xdr:row>11</xdr:row>
      <xdr:rowOff>94891</xdr:rowOff>
    </xdr:from>
    <xdr:to>
      <xdr:col>19</xdr:col>
      <xdr:colOff>43132</xdr:colOff>
      <xdr:row>15</xdr:row>
      <xdr:rowOff>34506</xdr:rowOff>
    </xdr:to>
    <xdr:sp macro="" textlink="">
      <xdr:nvSpPr>
        <xdr:cNvPr id="10043052" name="Line 8">
          <a:extLst>
            <a:ext uri="{FF2B5EF4-FFF2-40B4-BE49-F238E27FC236}">
              <a16:creationId xmlns:a16="http://schemas.microsoft.com/office/drawing/2014/main" id="{00000000-0008-0000-0600-0000AC3E9900}"/>
            </a:ext>
          </a:extLst>
        </xdr:cNvPr>
        <xdr:cNvSpPr>
          <a:spLocks noChangeShapeType="1"/>
        </xdr:cNvSpPr>
      </xdr:nvSpPr>
      <xdr:spPr bwMode="auto">
        <a:xfrm>
          <a:off x="5020574" y="1043796"/>
          <a:ext cx="0" cy="3019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25879</xdr:colOff>
      <xdr:row>9</xdr:row>
      <xdr:rowOff>103517</xdr:rowOff>
    </xdr:from>
    <xdr:to>
      <xdr:col>21</xdr:col>
      <xdr:colOff>51758</xdr:colOff>
      <xdr:row>11</xdr:row>
      <xdr:rowOff>43132</xdr:rowOff>
    </xdr:to>
    <xdr:sp macro="" textlink="">
      <xdr:nvSpPr>
        <xdr:cNvPr id="10043053" name="Line 9">
          <a:extLst>
            <a:ext uri="{FF2B5EF4-FFF2-40B4-BE49-F238E27FC236}">
              <a16:creationId xmlns:a16="http://schemas.microsoft.com/office/drawing/2014/main" id="{00000000-0008-0000-0600-0000AD3E9900}"/>
            </a:ext>
          </a:extLst>
        </xdr:cNvPr>
        <xdr:cNvSpPr>
          <a:spLocks noChangeShapeType="1"/>
        </xdr:cNvSpPr>
      </xdr:nvSpPr>
      <xdr:spPr bwMode="auto">
        <a:xfrm>
          <a:off x="5253487" y="871268"/>
          <a:ext cx="276045" cy="12077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el-bw.d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bundesnetzagentur.de/DE/Sachgebiete/ElektrizitaetundGas/Unternehmen_Institutionen/ErneuerbareEnergien/ZahlenDatenInformationen/EEG_Registerdaten/EEG_Registerdaten_node.html" TargetMode="External"/><Relationship Id="rId3" Type="http://schemas.openxmlformats.org/officeDocument/2006/relationships/hyperlink" Target="http://www.bmu.de/erneuerbare_energien/downloads/doc/48898.php" TargetMode="External"/><Relationship Id="rId7" Type="http://schemas.openxmlformats.org/officeDocument/2006/relationships/hyperlink" Target="https://www.solarwirtschaft.de/eeg.html" TargetMode="External"/><Relationship Id="rId12" Type="http://schemas.openxmlformats.org/officeDocument/2006/relationships/drawing" Target="../drawings/drawing3.xml"/><Relationship Id="rId2" Type="http://schemas.openxmlformats.org/officeDocument/2006/relationships/hyperlink" Target="http://www.erneuerbare-energien.de/erneuerbare_energien/pv-novelle_2012/doc/48542.php" TargetMode="External"/><Relationship Id="rId1" Type="http://schemas.openxmlformats.org/officeDocument/2006/relationships/hyperlink" Target="http://www.solarwirtschaft.de/unsere-themen/erneuerbare-energien-gesetz" TargetMode="External"/><Relationship Id="rId6" Type="http://schemas.openxmlformats.org/officeDocument/2006/relationships/hyperlink" Target="http://www.bundesnetzagentur.de/cln_1931/DE/Sachgebiete/ElektrizitaetundGas/Unternehmen_Institutionen/ErneuerbareEnergien/Photovoltaik/DatenMeldgn_EEG-VergSaetze/DatenMeldgn_EEG-VergSaetze_node.html" TargetMode="External"/><Relationship Id="rId11" Type="http://schemas.openxmlformats.org/officeDocument/2006/relationships/printerSettings" Target="../printerSettings/printerSettings3.bin"/><Relationship Id="rId5" Type="http://schemas.openxmlformats.org/officeDocument/2006/relationships/hyperlink" Target="http://www.clearingstelle-eeg.de/fotovoltaik/" TargetMode="External"/><Relationship Id="rId10" Type="http://schemas.openxmlformats.org/officeDocument/2006/relationships/hyperlink" Target="https://www.solarwirtschaft.de/eeg.html" TargetMode="External"/><Relationship Id="rId4" Type="http://schemas.openxmlformats.org/officeDocument/2006/relationships/hyperlink" Target="http://www.bundesnetzagentur.de/cln_1931/DE/Sachgebiete/ElektrizitaetGas/ErneuerbareEnergienGesetz/VerguetungssaetzePVAnlagen/VerguetungssaetzePhotovoltaik_Basepage.html?nn=135464" TargetMode="External"/><Relationship Id="rId9" Type="http://schemas.openxmlformats.org/officeDocument/2006/relationships/hyperlink" Target="https://www.bundesnetzagentur.de/DE/Sachgebiete/ElektrizitaetundGas/Unternehmen_Institutionen/ErneuerbareEnergien/ZahlenDatenInformationen/EEG_Registerdaten/EEG_Registerdaten_node.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98"/>
  <sheetViews>
    <sheetView showGridLines="0" showZeros="0" tabSelected="1" zoomScaleNormal="100" workbookViewId="0">
      <pane ySplit="20" topLeftCell="A21" activePane="bottomLeft" state="frozen"/>
      <selection pane="bottomLeft" activeCell="A21" sqref="A21"/>
    </sheetView>
  </sheetViews>
  <sheetFormatPr baseColWidth="10" defaultColWidth="3.7109375" defaultRowHeight="12.2" customHeight="1"/>
  <cols>
    <col min="1" max="1" width="0.28515625" style="702" customWidth="1"/>
    <col min="2" max="2" width="2.7109375" style="736" customWidth="1"/>
    <col min="3" max="28" width="3.42578125" style="702" customWidth="1"/>
    <col min="29" max="29" width="1.7109375" style="702" customWidth="1"/>
    <col min="30" max="16384" width="3.7109375" style="702"/>
  </cols>
  <sheetData>
    <row r="1" spans="2:28" ht="3.2" customHeight="1">
      <c r="C1" s="703"/>
      <c r="D1" s="703"/>
      <c r="E1" s="703"/>
      <c r="F1" s="703"/>
      <c r="G1" s="703"/>
      <c r="H1" s="703"/>
      <c r="I1" s="703"/>
      <c r="J1" s="703"/>
      <c r="K1" s="703"/>
      <c r="L1" s="703"/>
      <c r="M1" s="703"/>
      <c r="N1" s="703"/>
      <c r="O1" s="703"/>
      <c r="P1" s="703"/>
      <c r="Q1" s="703"/>
      <c r="R1" s="703"/>
      <c r="S1" s="703"/>
      <c r="T1" s="703"/>
      <c r="U1" s="703"/>
      <c r="V1" s="703"/>
      <c r="W1" s="703"/>
      <c r="X1" s="703"/>
      <c r="Y1" s="703"/>
      <c r="Z1" s="703"/>
      <c r="AA1" s="703"/>
      <c r="AB1" s="703"/>
    </row>
    <row r="2" spans="2:28" ht="5.0999999999999996" customHeight="1" thickBot="1">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row>
    <row r="3" spans="2:28" ht="16.5" customHeight="1" thickTop="1">
      <c r="C3" s="704"/>
      <c r="D3" s="705" t="s">
        <v>1222</v>
      </c>
      <c r="E3" s="704"/>
      <c r="F3" s="704"/>
      <c r="G3" s="704"/>
      <c r="H3" s="704"/>
      <c r="I3" s="705"/>
      <c r="J3" s="704"/>
      <c r="K3" s="706"/>
      <c r="L3" s="704"/>
      <c r="M3" s="1217" t="s">
        <v>416</v>
      </c>
      <c r="N3" s="1218"/>
      <c r="O3" s="1218"/>
      <c r="P3" s="1218"/>
      <c r="Q3" s="1218"/>
      <c r="R3" s="1218"/>
      <c r="S3" s="1219"/>
      <c r="T3" s="704"/>
      <c r="U3" s="704"/>
      <c r="V3" s="704"/>
      <c r="W3" s="704"/>
      <c r="X3" s="704"/>
      <c r="Y3" s="704"/>
      <c r="Z3" s="704"/>
      <c r="AA3" s="704"/>
      <c r="AB3" s="704"/>
    </row>
    <row r="4" spans="2:28" ht="5.0999999999999996" customHeight="1">
      <c r="C4" s="704"/>
      <c r="D4" s="704"/>
      <c r="E4" s="704"/>
      <c r="F4" s="704"/>
      <c r="G4" s="704"/>
      <c r="H4" s="704"/>
      <c r="I4" s="704"/>
      <c r="J4" s="704"/>
      <c r="K4" s="704"/>
      <c r="L4" s="704"/>
      <c r="M4" s="1220"/>
      <c r="N4" s="1221"/>
      <c r="O4" s="1221"/>
      <c r="P4" s="1221"/>
      <c r="Q4" s="1221"/>
      <c r="R4" s="1221"/>
      <c r="S4" s="1222"/>
      <c r="T4" s="704"/>
      <c r="U4" s="704"/>
      <c r="V4" s="704"/>
      <c r="W4" s="704"/>
      <c r="X4" s="704"/>
      <c r="Y4" s="704"/>
      <c r="Z4" s="704"/>
      <c r="AA4" s="704"/>
      <c r="AB4" s="704"/>
    </row>
    <row r="5" spans="2:28" ht="16.5" customHeight="1">
      <c r="C5" s="704"/>
      <c r="D5" s="707" t="s">
        <v>377</v>
      </c>
      <c r="E5" s="704"/>
      <c r="F5" s="704"/>
      <c r="G5" s="704"/>
      <c r="H5" s="704"/>
      <c r="I5" s="704"/>
      <c r="J5" s="704"/>
      <c r="K5" s="704"/>
      <c r="L5" s="704"/>
      <c r="M5" s="1220"/>
      <c r="N5" s="1221"/>
      <c r="O5" s="1221"/>
      <c r="P5" s="1221"/>
      <c r="Q5" s="1221"/>
      <c r="R5" s="1221"/>
      <c r="S5" s="1222"/>
      <c r="T5" s="704"/>
      <c r="U5" s="704"/>
      <c r="V5" s="704"/>
      <c r="W5" s="704"/>
      <c r="X5" s="704"/>
      <c r="Y5" s="704"/>
      <c r="Z5" s="704"/>
      <c r="AA5" s="704"/>
      <c r="AB5" s="704"/>
    </row>
    <row r="6" spans="2:28" ht="9" customHeight="1" thickBot="1">
      <c r="C6" s="704"/>
      <c r="D6" s="704"/>
      <c r="E6" s="704"/>
      <c r="F6" s="704"/>
      <c r="G6" s="704"/>
      <c r="H6" s="704"/>
      <c r="I6" s="704"/>
      <c r="J6" s="704"/>
      <c r="K6" s="704"/>
      <c r="L6" s="704"/>
      <c r="M6" s="1223"/>
      <c r="N6" s="1224"/>
      <c r="O6" s="1224"/>
      <c r="P6" s="1224"/>
      <c r="Q6" s="1224"/>
      <c r="R6" s="1224"/>
      <c r="S6" s="1225"/>
      <c r="T6" s="704"/>
      <c r="U6" s="704"/>
      <c r="V6" s="704"/>
      <c r="W6" s="704"/>
      <c r="X6" s="704"/>
      <c r="Y6" s="704"/>
      <c r="Z6" s="704"/>
      <c r="AA6" s="708"/>
      <c r="AB6" s="704"/>
    </row>
    <row r="7" spans="2:28" ht="5.0999999999999996" customHeight="1" thickTop="1">
      <c r="C7" s="704"/>
      <c r="D7" s="709"/>
      <c r="E7" s="709"/>
      <c r="F7" s="709"/>
      <c r="G7" s="709"/>
      <c r="H7" s="709"/>
      <c r="I7" s="709"/>
      <c r="J7" s="704"/>
      <c r="K7" s="704"/>
      <c r="L7" s="704"/>
      <c r="M7" s="704"/>
      <c r="N7" s="704"/>
      <c r="O7" s="704"/>
      <c r="P7" s="704"/>
      <c r="Q7" s="704"/>
      <c r="R7" s="704"/>
      <c r="S7" s="704"/>
      <c r="T7" s="704"/>
      <c r="U7" s="704"/>
      <c r="V7" s="704"/>
      <c r="W7" s="704"/>
      <c r="X7" s="704"/>
      <c r="Y7" s="704"/>
      <c r="Z7" s="704"/>
      <c r="AA7" s="704"/>
      <c r="AB7" s="704"/>
    </row>
    <row r="8" spans="2:28" s="710" customFormat="1" ht="6" customHeight="1">
      <c r="B8" s="736"/>
      <c r="D8" s="711"/>
      <c r="E8" s="711"/>
      <c r="F8" s="711"/>
      <c r="G8" s="711"/>
      <c r="H8" s="711"/>
      <c r="I8" s="711"/>
    </row>
    <row r="9" spans="2:28" ht="16.5" customHeight="1">
      <c r="D9" s="712" t="s">
        <v>378</v>
      </c>
    </row>
    <row r="10" spans="2:28" ht="12.2" customHeight="1">
      <c r="D10" s="702" t="s">
        <v>417</v>
      </c>
    </row>
    <row r="11" spans="2:28" ht="12.2" customHeight="1">
      <c r="D11" s="702" t="s">
        <v>379</v>
      </c>
    </row>
    <row r="12" spans="2:28" s="710" customFormat="1" ht="6" customHeight="1">
      <c r="B12" s="736"/>
      <c r="D12" s="711"/>
      <c r="E12" s="711"/>
      <c r="F12" s="711"/>
      <c r="G12" s="711"/>
      <c r="H12" s="711"/>
      <c r="I12" s="711"/>
    </row>
    <row r="13" spans="2:28" ht="12.2" customHeight="1">
      <c r="D13" s="702" t="s">
        <v>380</v>
      </c>
    </row>
    <row r="14" spans="2:28" ht="16.5" customHeight="1">
      <c r="D14" s="712" t="s">
        <v>418</v>
      </c>
    </row>
    <row r="15" spans="2:28" s="710" customFormat="1" ht="6" customHeight="1" thickBot="1">
      <c r="B15" s="736"/>
      <c r="D15" s="711"/>
      <c r="E15" s="711"/>
      <c r="F15" s="711"/>
      <c r="G15" s="711"/>
      <c r="H15" s="711"/>
      <c r="I15" s="711"/>
    </row>
    <row r="16" spans="2:28" ht="14.1" customHeight="1">
      <c r="D16" s="745" t="s">
        <v>489</v>
      </c>
      <c r="E16" s="746"/>
      <c r="F16" s="746"/>
      <c r="G16" s="746"/>
      <c r="H16" s="746"/>
      <c r="I16" s="746"/>
      <c r="J16" s="746"/>
      <c r="K16" s="746"/>
      <c r="L16" s="746"/>
      <c r="M16" s="746"/>
      <c r="N16" s="746"/>
      <c r="O16" s="746"/>
      <c r="P16" s="746"/>
      <c r="Q16" s="746"/>
      <c r="R16" s="746"/>
      <c r="S16" s="746"/>
      <c r="T16" s="746"/>
      <c r="U16" s="746"/>
      <c r="V16" s="746"/>
      <c r="W16" s="746"/>
      <c r="X16" s="746"/>
      <c r="Y16" s="746"/>
      <c r="Z16" s="746"/>
      <c r="AA16" s="746"/>
      <c r="AB16" s="747"/>
    </row>
    <row r="17" spans="2:28" ht="17.45" customHeight="1">
      <c r="D17" s="748" t="s">
        <v>1223</v>
      </c>
      <c r="E17" s="749"/>
      <c r="F17" s="749"/>
      <c r="G17" s="749"/>
      <c r="H17" s="749"/>
      <c r="I17" s="749"/>
      <c r="J17" s="749"/>
      <c r="K17" s="749"/>
      <c r="L17" s="749"/>
      <c r="M17" s="749"/>
      <c r="N17" s="749"/>
      <c r="O17" s="749"/>
      <c r="P17" s="749"/>
      <c r="Q17" s="749"/>
      <c r="R17" s="749"/>
      <c r="S17" s="749"/>
      <c r="T17" s="749"/>
      <c r="U17" s="749"/>
      <c r="V17" s="749"/>
      <c r="W17" s="749"/>
      <c r="X17" s="749"/>
      <c r="Y17" s="749"/>
      <c r="Z17" s="749"/>
      <c r="AA17" s="749"/>
      <c r="AB17" s="750"/>
    </row>
    <row r="18" spans="2:28" ht="14.1" customHeight="1" thickBot="1">
      <c r="D18" s="748" t="s">
        <v>490</v>
      </c>
      <c r="E18" s="749"/>
      <c r="F18" s="749"/>
      <c r="G18" s="749"/>
      <c r="H18" s="749"/>
      <c r="I18" s="749"/>
      <c r="J18" s="749"/>
      <c r="K18" s="749"/>
      <c r="L18" s="749"/>
      <c r="M18" s="749"/>
      <c r="N18" s="749"/>
      <c r="O18" s="749"/>
      <c r="P18" s="749"/>
      <c r="Q18" s="749"/>
      <c r="R18" s="749"/>
      <c r="S18" s="749"/>
      <c r="T18" s="749"/>
      <c r="U18" s="749"/>
      <c r="V18" s="749"/>
      <c r="W18" s="749"/>
      <c r="X18" s="749"/>
      <c r="Y18" s="749"/>
      <c r="Z18" s="749"/>
      <c r="AA18" s="749"/>
      <c r="AB18" s="750"/>
    </row>
    <row r="19" spans="2:28" ht="14.1" customHeight="1" thickBot="1">
      <c r="D19" s="1226" t="s">
        <v>381</v>
      </c>
      <c r="E19" s="1227"/>
      <c r="F19" s="1227"/>
      <c r="G19" s="1227"/>
      <c r="H19" s="1227"/>
      <c r="I19" s="1227"/>
      <c r="J19" s="1228"/>
      <c r="K19" s="753" t="s">
        <v>733</v>
      </c>
      <c r="L19" s="754"/>
      <c r="M19" s="751"/>
      <c r="N19" s="751"/>
      <c r="O19" s="751"/>
      <c r="P19" s="751"/>
      <c r="Q19" s="751"/>
      <c r="R19" s="751"/>
      <c r="S19" s="751"/>
      <c r="T19" s="751"/>
      <c r="U19" s="751"/>
      <c r="V19" s="751"/>
      <c r="W19" s="751"/>
      <c r="X19" s="751"/>
      <c r="Y19" s="751"/>
      <c r="Z19" s="751"/>
      <c r="AA19" s="751"/>
      <c r="AB19" s="752"/>
    </row>
    <row r="20" spans="2:28" ht="6" customHeight="1"/>
    <row r="21" spans="2:28" ht="6" customHeight="1"/>
    <row r="22" spans="2:28" ht="14.1" customHeight="1">
      <c r="B22" s="702"/>
      <c r="C22" s="1236" t="s">
        <v>1146</v>
      </c>
      <c r="D22" s="1129" t="s">
        <v>1147</v>
      </c>
      <c r="E22" s="901"/>
      <c r="F22" s="901"/>
      <c r="G22" s="901"/>
      <c r="H22" s="901"/>
      <c r="I22" s="901"/>
      <c r="J22" s="901"/>
      <c r="K22" s="901"/>
      <c r="L22" s="901"/>
      <c r="M22" s="901"/>
      <c r="N22" s="901"/>
      <c r="O22" s="901"/>
      <c r="P22" s="901"/>
      <c r="Q22" s="901"/>
    </row>
    <row r="23" spans="2:28" ht="14.1" customHeight="1">
      <c r="B23" s="702"/>
      <c r="C23" s="1237"/>
      <c r="D23" s="902" t="s">
        <v>1148</v>
      </c>
      <c r="E23" s="901"/>
      <c r="F23" s="901"/>
      <c r="G23" s="901"/>
      <c r="H23" s="901"/>
      <c r="I23" s="901"/>
      <c r="J23" s="901"/>
      <c r="K23" s="901"/>
      <c r="L23" s="901"/>
      <c r="M23" s="901"/>
      <c r="N23" s="901"/>
      <c r="O23" s="901"/>
      <c r="P23" s="901"/>
      <c r="Q23" s="901"/>
    </row>
    <row r="24" spans="2:28" ht="14.1" customHeight="1">
      <c r="B24" s="702"/>
      <c r="C24" s="1237"/>
      <c r="D24" s="902" t="s">
        <v>1149</v>
      </c>
      <c r="E24" s="902"/>
      <c r="F24" s="901"/>
      <c r="G24" s="901"/>
      <c r="H24" s="901"/>
      <c r="I24" s="901"/>
      <c r="J24" s="901"/>
      <c r="K24" s="901"/>
      <c r="L24" s="901"/>
      <c r="M24" s="901"/>
      <c r="N24" s="901"/>
      <c r="O24" s="901"/>
      <c r="P24" s="901"/>
      <c r="Q24" s="901"/>
    </row>
    <row r="25" spans="2:28" ht="14.1" customHeight="1">
      <c r="B25" s="702"/>
      <c r="C25" s="1237"/>
      <c r="D25" s="902" t="s">
        <v>1150</v>
      </c>
      <c r="E25" s="902"/>
      <c r="F25" s="901"/>
      <c r="G25" s="901"/>
      <c r="H25" s="901"/>
      <c r="I25" s="901"/>
      <c r="J25" s="901"/>
      <c r="K25" s="901"/>
      <c r="L25" s="901"/>
      <c r="M25" s="901"/>
      <c r="N25" s="901"/>
      <c r="O25" s="901"/>
      <c r="P25" s="901"/>
      <c r="Q25" s="901"/>
    </row>
    <row r="26" spans="2:28" ht="14.1" customHeight="1">
      <c r="B26" s="702"/>
      <c r="C26" s="1237"/>
      <c r="D26" s="902" t="s">
        <v>1151</v>
      </c>
      <c r="E26" s="902"/>
      <c r="F26" s="901"/>
      <c r="G26" s="901"/>
      <c r="H26" s="901"/>
      <c r="I26" s="901"/>
      <c r="J26" s="901"/>
      <c r="K26" s="901"/>
      <c r="L26" s="901"/>
      <c r="M26" s="901"/>
      <c r="N26" s="901"/>
      <c r="O26" s="901"/>
      <c r="P26" s="901"/>
      <c r="Q26" s="901"/>
    </row>
    <row r="27" spans="2:28" ht="14.1" customHeight="1">
      <c r="B27" s="702"/>
      <c r="C27" s="1237"/>
      <c r="D27" s="902" t="s">
        <v>1152</v>
      </c>
      <c r="E27" s="902"/>
      <c r="F27" s="901"/>
      <c r="G27" s="901"/>
      <c r="H27" s="901"/>
      <c r="I27" s="901"/>
      <c r="J27" s="901"/>
      <c r="K27" s="901"/>
      <c r="L27" s="901"/>
      <c r="M27" s="901"/>
      <c r="N27" s="901"/>
      <c r="O27" s="901"/>
      <c r="P27" s="901"/>
      <c r="Q27" s="901"/>
    </row>
    <row r="28" spans="2:28" ht="14.1" customHeight="1">
      <c r="B28" s="702"/>
      <c r="C28" s="1237"/>
      <c r="D28" s="902" t="s">
        <v>1153</v>
      </c>
      <c r="E28" s="902"/>
      <c r="F28" s="901"/>
      <c r="G28" s="901"/>
      <c r="H28" s="901"/>
      <c r="I28" s="901"/>
      <c r="J28" s="901"/>
      <c r="K28" s="901"/>
      <c r="L28" s="901"/>
      <c r="M28" s="901"/>
      <c r="N28" s="901"/>
      <c r="O28" s="901"/>
      <c r="P28" s="901"/>
      <c r="Q28" s="901"/>
    </row>
    <row r="29" spans="2:28" ht="14.1" customHeight="1">
      <c r="B29" s="702"/>
      <c r="C29" s="1237"/>
      <c r="D29" s="902" t="s">
        <v>1154</v>
      </c>
      <c r="E29" s="902"/>
      <c r="F29" s="901"/>
      <c r="G29" s="901"/>
      <c r="H29" s="901"/>
      <c r="I29" s="901"/>
      <c r="J29" s="901"/>
      <c r="K29" s="901"/>
      <c r="L29" s="901"/>
      <c r="M29" s="901"/>
      <c r="N29" s="901"/>
      <c r="O29" s="901"/>
      <c r="P29" s="901"/>
      <c r="Q29" s="901"/>
    </row>
    <row r="30" spans="2:28" ht="14.1" customHeight="1">
      <c r="B30" s="702"/>
      <c r="C30" s="1237"/>
      <c r="D30" s="902" t="s">
        <v>1155</v>
      </c>
      <c r="E30" s="902"/>
      <c r="F30" s="901"/>
      <c r="G30" s="901"/>
      <c r="H30" s="901"/>
      <c r="I30" s="901"/>
      <c r="J30" s="901"/>
      <c r="K30" s="901"/>
      <c r="L30" s="901"/>
      <c r="M30" s="901"/>
      <c r="N30" s="901"/>
      <c r="O30" s="901"/>
      <c r="P30" s="901"/>
      <c r="Q30" s="901"/>
    </row>
    <row r="31" spans="2:28" ht="14.1" customHeight="1">
      <c r="B31" s="702"/>
      <c r="C31" s="1237"/>
      <c r="D31" s="1130"/>
      <c r="E31" s="1131" t="s">
        <v>1156</v>
      </c>
      <c r="F31" s="901"/>
      <c r="G31" s="901"/>
      <c r="H31" s="901"/>
      <c r="I31" s="901"/>
      <c r="J31" s="901"/>
      <c r="K31" s="901"/>
      <c r="L31" s="901"/>
      <c r="M31" s="901"/>
      <c r="N31" s="901"/>
      <c r="O31" s="901"/>
      <c r="P31" s="901"/>
      <c r="Q31" s="901"/>
    </row>
    <row r="32" spans="2:28" ht="14.1" customHeight="1">
      <c r="B32" s="702"/>
      <c r="C32" s="1237"/>
      <c r="D32" s="902"/>
      <c r="E32" s="1131" t="s">
        <v>1157</v>
      </c>
      <c r="F32" s="901"/>
      <c r="G32" s="901"/>
      <c r="H32" s="901"/>
      <c r="I32" s="901"/>
      <c r="J32" s="901"/>
      <c r="K32" s="901"/>
      <c r="L32" s="901"/>
      <c r="M32" s="901"/>
      <c r="N32" s="901"/>
      <c r="O32" s="901"/>
      <c r="P32" s="901"/>
      <c r="Q32" s="901"/>
    </row>
    <row r="33" spans="2:28" ht="14.1" customHeight="1">
      <c r="B33" s="702"/>
      <c r="C33" s="1237"/>
      <c r="D33" s="902"/>
      <c r="E33" s="1131" t="s">
        <v>1158</v>
      </c>
      <c r="F33" s="901"/>
      <c r="G33" s="901"/>
      <c r="H33" s="901"/>
      <c r="I33" s="901"/>
      <c r="J33" s="901"/>
      <c r="K33" s="901"/>
      <c r="L33" s="901"/>
      <c r="M33" s="901"/>
      <c r="N33" s="901"/>
      <c r="O33" s="901"/>
      <c r="P33" s="901"/>
      <c r="Q33" s="901"/>
    </row>
    <row r="34" spans="2:28" ht="14.1" customHeight="1">
      <c r="B34" s="702"/>
      <c r="C34" s="1237"/>
      <c r="D34" s="902"/>
      <c r="E34" s="1131" t="s">
        <v>1160</v>
      </c>
      <c r="F34" s="901"/>
      <c r="G34" s="901"/>
      <c r="H34" s="901"/>
      <c r="I34" s="901"/>
      <c r="J34" s="901"/>
      <c r="K34" s="901"/>
      <c r="L34" s="901"/>
      <c r="M34" s="901"/>
      <c r="N34" s="901"/>
      <c r="O34" s="901"/>
      <c r="P34" s="901"/>
      <c r="Q34" s="901"/>
    </row>
    <row r="35" spans="2:28" ht="14.1" customHeight="1">
      <c r="B35" s="702"/>
      <c r="C35" s="1237"/>
      <c r="D35" s="902"/>
      <c r="E35" s="1132" t="s">
        <v>1159</v>
      </c>
      <c r="F35" s="901"/>
      <c r="G35" s="901"/>
      <c r="H35" s="901"/>
      <c r="I35" s="901"/>
      <c r="J35" s="901"/>
      <c r="K35" s="901"/>
      <c r="L35" s="901"/>
      <c r="M35" s="901"/>
      <c r="N35" s="901"/>
      <c r="O35" s="901"/>
      <c r="P35" s="901"/>
      <c r="Q35" s="901"/>
    </row>
    <row r="36" spans="2:28" ht="14.1" customHeight="1">
      <c r="B36" s="702"/>
      <c r="C36" s="1238"/>
      <c r="D36" s="902"/>
      <c r="E36" s="1132"/>
      <c r="F36" s="901"/>
      <c r="G36" s="901"/>
      <c r="H36" s="901"/>
      <c r="I36" s="901"/>
      <c r="J36" s="901"/>
      <c r="K36" s="901"/>
      <c r="L36" s="901"/>
      <c r="M36" s="901"/>
      <c r="N36" s="901"/>
      <c r="O36" s="901"/>
      <c r="P36" s="901"/>
      <c r="Q36" s="901"/>
    </row>
    <row r="37" spans="2:28" ht="14.1" customHeight="1"/>
    <row r="38" spans="2:28" ht="14.1" customHeight="1">
      <c r="C38" s="1233" t="s">
        <v>899</v>
      </c>
      <c r="D38" s="905" t="s">
        <v>900</v>
      </c>
      <c r="E38" s="906"/>
      <c r="F38" s="906"/>
      <c r="G38" s="906"/>
      <c r="H38" s="906"/>
      <c r="I38" s="906"/>
      <c r="J38" s="906"/>
      <c r="K38" s="906"/>
      <c r="L38" s="906"/>
      <c r="M38" s="906"/>
      <c r="N38" s="906"/>
      <c r="O38" s="906"/>
      <c r="P38" s="906"/>
      <c r="Q38" s="906"/>
      <c r="R38" s="906"/>
      <c r="S38" s="906"/>
      <c r="T38" s="906"/>
      <c r="U38" s="906"/>
      <c r="V38" s="906"/>
      <c r="W38" s="906"/>
      <c r="X38" s="906"/>
      <c r="Y38" s="906"/>
      <c r="Z38" s="906"/>
      <c r="AA38" s="906"/>
      <c r="AB38" s="906"/>
    </row>
    <row r="39" spans="2:28" ht="13.9" customHeight="1">
      <c r="C39" s="1234"/>
      <c r="D39" s="907" t="s">
        <v>901</v>
      </c>
      <c r="E39" s="906"/>
      <c r="F39" s="906"/>
      <c r="G39" s="906"/>
      <c r="H39" s="906"/>
      <c r="I39" s="906"/>
      <c r="J39" s="906"/>
      <c r="K39" s="906"/>
      <c r="L39" s="906"/>
      <c r="M39" s="906"/>
      <c r="N39" s="906"/>
      <c r="O39" s="906"/>
      <c r="P39" s="906"/>
      <c r="Q39" s="906"/>
      <c r="R39" s="906"/>
      <c r="S39" s="906"/>
      <c r="T39" s="906"/>
      <c r="U39" s="906"/>
      <c r="V39" s="906"/>
      <c r="W39" s="906"/>
      <c r="X39" s="906"/>
      <c r="Y39" s="906"/>
      <c r="Z39" s="906"/>
      <c r="AA39" s="906"/>
      <c r="AB39" s="906"/>
    </row>
    <row r="40" spans="2:28" ht="13.9" customHeight="1">
      <c r="C40" s="1234"/>
      <c r="D40" s="907" t="s">
        <v>902</v>
      </c>
      <c r="E40" s="906"/>
      <c r="F40" s="906"/>
      <c r="G40" s="906"/>
      <c r="H40" s="906"/>
      <c r="I40" s="906"/>
      <c r="J40" s="906"/>
      <c r="K40" s="906"/>
      <c r="L40" s="906"/>
      <c r="M40" s="906"/>
      <c r="N40" s="906"/>
      <c r="O40" s="906"/>
      <c r="P40" s="906"/>
      <c r="Q40" s="906"/>
      <c r="R40" s="906"/>
      <c r="S40" s="906"/>
      <c r="T40" s="906"/>
      <c r="U40" s="906"/>
      <c r="V40" s="906"/>
      <c r="W40" s="906"/>
      <c r="X40" s="906"/>
      <c r="Y40" s="906"/>
      <c r="Z40" s="906"/>
      <c r="AA40" s="906"/>
      <c r="AB40" s="906"/>
    </row>
    <row r="41" spans="2:28" ht="13.9" customHeight="1">
      <c r="C41" s="1234"/>
      <c r="D41" s="907" t="s">
        <v>987</v>
      </c>
      <c r="E41" s="906"/>
      <c r="F41" s="906"/>
      <c r="G41" s="906"/>
      <c r="H41" s="906"/>
      <c r="I41" s="906"/>
      <c r="J41" s="906"/>
      <c r="K41" s="906"/>
      <c r="L41" s="906"/>
      <c r="M41" s="906"/>
      <c r="N41" s="906"/>
      <c r="O41" s="906"/>
      <c r="P41" s="906"/>
      <c r="Q41" s="906"/>
      <c r="R41" s="906"/>
      <c r="S41" s="906"/>
      <c r="T41" s="906"/>
      <c r="U41" s="906"/>
      <c r="V41" s="906"/>
      <c r="W41" s="906"/>
      <c r="X41" s="906"/>
      <c r="Y41" s="906"/>
      <c r="Z41" s="906"/>
      <c r="AA41" s="906"/>
      <c r="AB41" s="906"/>
    </row>
    <row r="42" spans="2:28" ht="13.9" customHeight="1">
      <c r="C42" s="1234"/>
      <c r="D42" s="907" t="s">
        <v>988</v>
      </c>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row>
    <row r="43" spans="2:28" ht="13.9" customHeight="1">
      <c r="C43" s="1234"/>
      <c r="D43" s="908" t="s">
        <v>903</v>
      </c>
      <c r="E43" s="906"/>
      <c r="F43" s="906"/>
      <c r="G43" s="906"/>
      <c r="H43" s="906"/>
      <c r="I43" s="906"/>
      <c r="J43" s="906"/>
      <c r="K43" s="906"/>
      <c r="L43" s="906"/>
      <c r="M43" s="906"/>
      <c r="N43" s="906"/>
      <c r="O43" s="906"/>
      <c r="P43" s="906"/>
      <c r="Q43" s="906"/>
      <c r="R43" s="906"/>
      <c r="S43" s="906"/>
      <c r="T43" s="906"/>
      <c r="U43" s="906"/>
      <c r="V43" s="906"/>
      <c r="W43" s="906"/>
      <c r="X43" s="906"/>
      <c r="Y43" s="906"/>
      <c r="Z43" s="906"/>
      <c r="AA43" s="906"/>
      <c r="AB43" s="906"/>
    </row>
    <row r="44" spans="2:28" ht="13.9" customHeight="1">
      <c r="C44" s="1234"/>
      <c r="D44" s="907" t="s">
        <v>1045</v>
      </c>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row>
    <row r="45" spans="2:28" ht="13.9" customHeight="1">
      <c r="C45" s="1234"/>
      <c r="D45" s="907" t="s">
        <v>904</v>
      </c>
      <c r="E45" s="906"/>
      <c r="F45" s="906"/>
      <c r="G45" s="906"/>
      <c r="H45" s="906"/>
      <c r="I45" s="906"/>
      <c r="J45" s="906"/>
      <c r="K45" s="906"/>
      <c r="L45" s="906"/>
      <c r="M45" s="906"/>
      <c r="N45" s="906"/>
      <c r="O45" s="906"/>
      <c r="P45" s="906"/>
      <c r="Q45" s="906"/>
      <c r="R45" s="906"/>
      <c r="S45" s="906"/>
      <c r="T45" s="906"/>
      <c r="U45" s="906"/>
      <c r="V45" s="906"/>
      <c r="W45" s="906"/>
      <c r="X45" s="906"/>
      <c r="Y45" s="906"/>
      <c r="Z45" s="906"/>
      <c r="AA45" s="906"/>
      <c r="AB45" s="906"/>
    </row>
    <row r="46" spans="2:28" ht="13.9" customHeight="1">
      <c r="C46" s="1234"/>
      <c r="D46" s="907" t="s">
        <v>905</v>
      </c>
      <c r="E46" s="906"/>
      <c r="F46" s="906"/>
      <c r="G46" s="906"/>
      <c r="H46" s="906"/>
      <c r="I46" s="906"/>
      <c r="J46" s="906"/>
      <c r="K46" s="906"/>
      <c r="L46" s="906"/>
      <c r="M46" s="906"/>
      <c r="N46" s="906"/>
      <c r="O46" s="906"/>
      <c r="P46" s="906"/>
      <c r="Q46" s="906"/>
      <c r="R46" s="906"/>
      <c r="S46" s="906"/>
      <c r="T46" s="906"/>
      <c r="U46" s="906"/>
      <c r="V46" s="906"/>
      <c r="W46" s="906"/>
      <c r="X46" s="906"/>
      <c r="Y46" s="906"/>
      <c r="Z46" s="906"/>
      <c r="AA46" s="906"/>
      <c r="AB46" s="906"/>
    </row>
    <row r="47" spans="2:28" ht="13.9" customHeight="1">
      <c r="C47" s="1234"/>
      <c r="D47" s="907" t="s">
        <v>906</v>
      </c>
      <c r="E47" s="906"/>
      <c r="F47" s="906"/>
      <c r="G47" s="906"/>
      <c r="H47" s="906"/>
      <c r="I47" s="906"/>
      <c r="J47" s="906"/>
      <c r="K47" s="906"/>
      <c r="L47" s="906"/>
      <c r="M47" s="906"/>
      <c r="N47" s="906"/>
      <c r="O47" s="906"/>
      <c r="P47" s="906"/>
      <c r="Q47" s="906"/>
      <c r="R47" s="906"/>
      <c r="S47" s="906"/>
      <c r="T47" s="906"/>
      <c r="U47" s="906"/>
      <c r="V47" s="906"/>
      <c r="W47" s="906"/>
      <c r="X47" s="906"/>
      <c r="Y47" s="906"/>
      <c r="Z47" s="906"/>
      <c r="AA47" s="906"/>
      <c r="AB47" s="906"/>
    </row>
    <row r="48" spans="2:28" ht="13.9" customHeight="1">
      <c r="C48" s="1234"/>
      <c r="D48" s="907" t="s">
        <v>907</v>
      </c>
      <c r="E48" s="906"/>
      <c r="F48" s="906"/>
      <c r="G48" s="906"/>
      <c r="H48" s="906"/>
      <c r="I48" s="906"/>
      <c r="J48" s="906"/>
      <c r="K48" s="906"/>
      <c r="L48" s="906"/>
      <c r="M48" s="906"/>
      <c r="N48" s="906"/>
      <c r="O48" s="906"/>
      <c r="P48" s="906"/>
      <c r="Q48" s="906"/>
      <c r="R48" s="906"/>
      <c r="S48" s="906"/>
      <c r="T48" s="906"/>
      <c r="U48" s="906"/>
      <c r="V48" s="906"/>
      <c r="W48" s="906"/>
      <c r="X48" s="906"/>
      <c r="Y48" s="906"/>
      <c r="Z48" s="906"/>
      <c r="AA48" s="906"/>
      <c r="AB48" s="906"/>
    </row>
    <row r="49" spans="3:28" ht="13.9" customHeight="1">
      <c r="C49" s="1234"/>
      <c r="D49" s="907" t="s">
        <v>908</v>
      </c>
      <c r="E49" s="906"/>
      <c r="F49" s="906"/>
      <c r="G49" s="906"/>
      <c r="H49" s="906"/>
      <c r="I49" s="906"/>
      <c r="J49" s="906"/>
      <c r="K49" s="906"/>
      <c r="L49" s="906"/>
      <c r="M49" s="906"/>
      <c r="N49" s="906"/>
      <c r="O49" s="906"/>
      <c r="P49" s="906"/>
      <c r="Q49" s="906"/>
      <c r="R49" s="906"/>
      <c r="S49" s="906"/>
      <c r="T49" s="906"/>
      <c r="U49" s="906"/>
      <c r="V49" s="906"/>
      <c r="W49" s="906"/>
      <c r="X49" s="906"/>
      <c r="Y49" s="906"/>
      <c r="Z49" s="906"/>
      <c r="AA49" s="906"/>
      <c r="AB49" s="906"/>
    </row>
    <row r="50" spans="3:28" ht="13.9" customHeight="1">
      <c r="C50" s="1235"/>
      <c r="D50" s="907"/>
      <c r="E50" s="907" t="s">
        <v>909</v>
      </c>
      <c r="F50" s="906"/>
      <c r="G50" s="906"/>
      <c r="H50" s="906"/>
      <c r="I50" s="906"/>
      <c r="J50" s="906"/>
      <c r="K50" s="906"/>
      <c r="L50" s="906"/>
      <c r="M50" s="906"/>
      <c r="N50" s="906"/>
      <c r="O50" s="906"/>
      <c r="P50" s="906"/>
      <c r="Q50" s="906"/>
      <c r="R50" s="906"/>
      <c r="S50" s="906"/>
      <c r="T50" s="906"/>
      <c r="U50" s="906"/>
      <c r="V50" s="906"/>
      <c r="W50" s="906"/>
      <c r="X50" s="906"/>
      <c r="Y50" s="906"/>
      <c r="Z50" s="906"/>
      <c r="AA50" s="906"/>
      <c r="AB50" s="906"/>
    </row>
    <row r="51" spans="3:28" ht="13.9" customHeight="1"/>
    <row r="52" spans="3:28" ht="13.9" customHeight="1">
      <c r="C52" s="1230" t="s">
        <v>693</v>
      </c>
      <c r="D52" s="900" t="s">
        <v>529</v>
      </c>
      <c r="E52" s="901"/>
      <c r="F52" s="901"/>
      <c r="G52" s="901"/>
      <c r="H52" s="901"/>
      <c r="I52" s="901"/>
      <c r="J52" s="901"/>
      <c r="K52" s="901"/>
      <c r="L52" s="901"/>
      <c r="M52" s="901"/>
      <c r="N52" s="901"/>
      <c r="O52" s="901"/>
      <c r="P52" s="901"/>
      <c r="Q52" s="901"/>
      <c r="R52" s="901"/>
      <c r="S52" s="901"/>
      <c r="T52" s="901"/>
      <c r="U52" s="901"/>
      <c r="V52" s="901"/>
      <c r="W52" s="901"/>
      <c r="X52" s="901"/>
      <c r="Y52" s="901"/>
      <c r="Z52" s="901"/>
      <c r="AA52" s="901"/>
      <c r="AB52" s="901"/>
    </row>
    <row r="53" spans="3:28" ht="13.9" customHeight="1">
      <c r="C53" s="1231"/>
      <c r="D53" s="902" t="s">
        <v>530</v>
      </c>
      <c r="E53" s="901"/>
      <c r="F53" s="901"/>
      <c r="G53" s="901"/>
      <c r="H53" s="901"/>
      <c r="I53" s="901"/>
      <c r="J53" s="901"/>
      <c r="K53" s="901"/>
      <c r="L53" s="901"/>
      <c r="M53" s="901"/>
      <c r="N53" s="901"/>
      <c r="O53" s="901"/>
      <c r="P53" s="901"/>
      <c r="Q53" s="901"/>
      <c r="R53" s="901"/>
      <c r="S53" s="901"/>
      <c r="T53" s="901"/>
      <c r="U53" s="901"/>
      <c r="V53" s="901"/>
      <c r="W53" s="901"/>
      <c r="X53" s="901"/>
      <c r="Y53" s="901"/>
      <c r="Z53" s="901"/>
      <c r="AA53" s="901"/>
      <c r="AB53" s="901"/>
    </row>
    <row r="54" spans="3:28" ht="13.9" customHeight="1">
      <c r="C54" s="1231"/>
      <c r="D54" s="902" t="s">
        <v>531</v>
      </c>
      <c r="E54" s="901"/>
      <c r="F54" s="901"/>
      <c r="G54" s="901"/>
      <c r="H54" s="901"/>
      <c r="I54" s="901"/>
      <c r="J54" s="901"/>
      <c r="K54" s="901"/>
      <c r="L54" s="901"/>
      <c r="M54" s="901"/>
      <c r="N54" s="901"/>
      <c r="O54" s="901"/>
      <c r="P54" s="901"/>
      <c r="Q54" s="901"/>
      <c r="R54" s="901"/>
      <c r="S54" s="901"/>
      <c r="T54" s="901"/>
      <c r="U54" s="901"/>
      <c r="V54" s="901"/>
      <c r="W54" s="901"/>
      <c r="X54" s="901"/>
      <c r="Y54" s="901"/>
      <c r="Z54" s="901"/>
      <c r="AA54" s="901"/>
      <c r="AB54" s="901"/>
    </row>
    <row r="55" spans="3:28" ht="13.9" customHeight="1">
      <c r="C55" s="1231"/>
      <c r="D55" s="902" t="s">
        <v>532</v>
      </c>
      <c r="E55" s="901"/>
      <c r="F55" s="901"/>
      <c r="G55" s="901"/>
      <c r="H55" s="901"/>
      <c r="I55" s="901"/>
      <c r="J55" s="901"/>
      <c r="K55" s="901"/>
      <c r="L55" s="901"/>
      <c r="M55" s="901"/>
      <c r="N55" s="901"/>
      <c r="O55" s="901"/>
      <c r="P55" s="901"/>
      <c r="Q55" s="901"/>
      <c r="R55" s="901"/>
      <c r="S55" s="901"/>
      <c r="T55" s="901"/>
      <c r="U55" s="901"/>
      <c r="V55" s="901"/>
      <c r="W55" s="901"/>
      <c r="X55" s="901"/>
      <c r="Y55" s="901"/>
      <c r="Z55" s="901"/>
      <c r="AA55" s="901"/>
      <c r="AB55" s="901"/>
    </row>
    <row r="56" spans="3:28" ht="13.9" customHeight="1">
      <c r="C56" s="1231"/>
      <c r="D56" s="902" t="s">
        <v>533</v>
      </c>
      <c r="E56" s="901"/>
      <c r="F56" s="901"/>
      <c r="G56" s="901"/>
      <c r="H56" s="901"/>
      <c r="I56" s="901"/>
      <c r="J56" s="901"/>
      <c r="K56" s="901"/>
      <c r="L56" s="901"/>
      <c r="M56" s="901"/>
      <c r="N56" s="901"/>
      <c r="O56" s="901"/>
      <c r="P56" s="901"/>
      <c r="Q56" s="901"/>
      <c r="R56" s="901"/>
      <c r="S56" s="901"/>
      <c r="T56" s="901"/>
      <c r="U56" s="901"/>
      <c r="V56" s="901"/>
      <c r="W56" s="901"/>
      <c r="X56" s="901"/>
      <c r="Y56" s="901"/>
      <c r="Z56" s="901"/>
      <c r="AA56" s="901"/>
      <c r="AB56" s="901"/>
    </row>
    <row r="57" spans="3:28" ht="13.9" customHeight="1">
      <c r="C57" s="1231"/>
      <c r="D57" s="902" t="s">
        <v>534</v>
      </c>
      <c r="E57" s="901"/>
      <c r="F57" s="901"/>
      <c r="G57" s="901"/>
      <c r="H57" s="901"/>
      <c r="I57" s="901"/>
      <c r="J57" s="901"/>
      <c r="K57" s="901"/>
      <c r="L57" s="901"/>
      <c r="M57" s="901"/>
      <c r="N57" s="901"/>
      <c r="O57" s="901"/>
      <c r="P57" s="901"/>
      <c r="Q57" s="901"/>
      <c r="R57" s="901"/>
      <c r="S57" s="901"/>
      <c r="T57" s="901"/>
      <c r="U57" s="901"/>
      <c r="V57" s="901"/>
      <c r="W57" s="901"/>
      <c r="X57" s="901"/>
      <c r="Y57" s="901"/>
      <c r="Z57" s="901"/>
      <c r="AA57" s="901"/>
      <c r="AB57" s="901"/>
    </row>
    <row r="58" spans="3:28" ht="13.9" customHeight="1">
      <c r="C58" s="1231"/>
      <c r="D58" s="902" t="s">
        <v>535</v>
      </c>
      <c r="E58" s="901"/>
      <c r="F58" s="901"/>
      <c r="G58" s="901"/>
      <c r="H58" s="901"/>
      <c r="I58" s="901"/>
      <c r="J58" s="901"/>
      <c r="K58" s="901"/>
      <c r="L58" s="901"/>
      <c r="M58" s="901"/>
      <c r="N58" s="917"/>
      <c r="O58" s="917"/>
      <c r="P58" s="917"/>
      <c r="Q58" s="917"/>
      <c r="R58" s="917"/>
      <c r="S58" s="917"/>
      <c r="T58" s="917"/>
      <c r="U58" s="917"/>
      <c r="V58" s="917"/>
      <c r="W58" s="901"/>
      <c r="X58" s="901"/>
      <c r="Y58" s="901"/>
      <c r="Z58" s="901"/>
      <c r="AA58" s="901"/>
      <c r="AB58" s="901"/>
    </row>
    <row r="59" spans="3:28" ht="13.9" customHeight="1">
      <c r="C59" s="1231"/>
      <c r="D59" s="902"/>
      <c r="E59" s="901"/>
      <c r="F59" s="901"/>
      <c r="G59" s="901"/>
      <c r="H59" s="901"/>
      <c r="I59" s="901"/>
      <c r="J59" s="901"/>
      <c r="K59" s="901"/>
      <c r="L59" s="901"/>
      <c r="M59" s="901"/>
      <c r="N59" s="901"/>
      <c r="O59" s="901"/>
      <c r="P59" s="901"/>
      <c r="Q59" s="901"/>
      <c r="R59" s="901"/>
      <c r="S59" s="901"/>
      <c r="T59" s="901"/>
      <c r="U59" s="901"/>
      <c r="V59" s="901"/>
      <c r="W59" s="901"/>
      <c r="X59" s="901"/>
      <c r="Y59" s="901"/>
      <c r="Z59" s="901"/>
      <c r="AA59" s="901"/>
      <c r="AB59" s="901"/>
    </row>
    <row r="60" spans="3:28" ht="13.9" customHeight="1">
      <c r="C60" s="1231"/>
      <c r="D60" s="902" t="s">
        <v>707</v>
      </c>
      <c r="E60" s="901"/>
      <c r="F60" s="901"/>
      <c r="G60" s="901"/>
      <c r="H60" s="901"/>
      <c r="I60" s="901"/>
      <c r="J60" s="901"/>
      <c r="K60" s="901"/>
      <c r="L60" s="901"/>
      <c r="M60" s="901"/>
      <c r="N60" s="901"/>
      <c r="O60" s="901"/>
      <c r="P60" s="901"/>
      <c r="Q60" s="901"/>
      <c r="R60" s="901"/>
      <c r="S60" s="901"/>
      <c r="T60" s="901"/>
      <c r="U60" s="901"/>
      <c r="V60" s="901"/>
      <c r="W60" s="901"/>
      <c r="X60" s="901"/>
      <c r="Y60" s="901"/>
      <c r="Z60" s="901"/>
      <c r="AA60" s="901"/>
      <c r="AB60" s="901"/>
    </row>
    <row r="61" spans="3:28" ht="13.9" customHeight="1">
      <c r="C61" s="1231"/>
      <c r="D61" s="902" t="s">
        <v>708</v>
      </c>
      <c r="E61" s="901"/>
      <c r="F61" s="901"/>
      <c r="G61" s="901"/>
      <c r="H61" s="901"/>
      <c r="I61" s="901"/>
      <c r="J61" s="901"/>
      <c r="K61" s="901"/>
      <c r="L61" s="901"/>
      <c r="M61" s="901"/>
      <c r="N61" s="901"/>
      <c r="O61" s="901"/>
      <c r="P61" s="901"/>
      <c r="Q61" s="901"/>
      <c r="R61" s="901"/>
      <c r="S61" s="901"/>
      <c r="T61" s="901"/>
      <c r="U61" s="901"/>
      <c r="V61" s="901"/>
      <c r="W61" s="901"/>
      <c r="X61" s="901"/>
      <c r="Y61" s="901"/>
      <c r="Z61" s="901"/>
      <c r="AA61" s="901"/>
      <c r="AB61" s="901"/>
    </row>
    <row r="62" spans="3:28" ht="13.9" customHeight="1">
      <c r="C62" s="1232"/>
      <c r="D62" s="902" t="s">
        <v>709</v>
      </c>
      <c r="E62" s="901"/>
      <c r="F62" s="901"/>
      <c r="G62" s="901"/>
      <c r="H62" s="901"/>
      <c r="I62" s="901"/>
      <c r="J62" s="901"/>
      <c r="K62" s="901"/>
      <c r="L62" s="901"/>
      <c r="M62" s="901"/>
      <c r="N62" s="901"/>
      <c r="O62" s="901"/>
      <c r="P62" s="901"/>
      <c r="Q62" s="901"/>
      <c r="R62" s="901"/>
      <c r="S62" s="901"/>
      <c r="T62" s="901"/>
      <c r="U62" s="901"/>
      <c r="V62" s="901"/>
      <c r="W62" s="901"/>
      <c r="X62" s="901"/>
      <c r="Y62" s="901"/>
      <c r="Z62" s="901"/>
      <c r="AA62" s="901"/>
      <c r="AB62" s="901"/>
    </row>
    <row r="63" spans="3:28" ht="6" customHeight="1"/>
    <row r="64" spans="3:28" ht="6" customHeight="1"/>
    <row r="65" spans="3:32" ht="18" customHeight="1">
      <c r="C65" s="714" t="s">
        <v>382</v>
      </c>
      <c r="D65" s="715" t="s">
        <v>383</v>
      </c>
      <c r="E65" s="714"/>
      <c r="F65" s="714"/>
      <c r="G65" s="714"/>
      <c r="H65" s="714"/>
      <c r="I65" s="714"/>
      <c r="J65" s="714"/>
      <c r="K65" s="714"/>
      <c r="L65" s="714"/>
      <c r="M65" s="714"/>
      <c r="N65" s="714"/>
      <c r="O65" s="714"/>
      <c r="P65" s="714"/>
      <c r="Q65" s="714"/>
      <c r="R65" s="714"/>
      <c r="S65" s="714"/>
      <c r="T65" s="714"/>
      <c r="U65" s="714"/>
      <c r="V65" s="714"/>
      <c r="W65" s="714"/>
      <c r="X65" s="714"/>
      <c r="Y65" s="714"/>
      <c r="Z65" s="714"/>
      <c r="AA65" s="714"/>
      <c r="AB65" s="714"/>
    </row>
    <row r="66" spans="3:32" ht="14.1" customHeight="1">
      <c r="C66" s="714"/>
      <c r="D66" s="757" t="s">
        <v>494</v>
      </c>
      <c r="E66" s="729"/>
      <c r="F66" s="729"/>
      <c r="G66" s="729"/>
      <c r="H66" s="729"/>
      <c r="I66" s="729"/>
      <c r="J66" s="729"/>
      <c r="K66" s="729"/>
      <c r="L66" s="729"/>
      <c r="M66" s="729"/>
      <c r="N66" s="729"/>
      <c r="O66" s="729"/>
      <c r="P66" s="729"/>
      <c r="Q66" s="729"/>
      <c r="R66" s="729"/>
      <c r="S66" s="729"/>
      <c r="T66" s="729"/>
      <c r="U66" s="729"/>
      <c r="V66" s="729"/>
      <c r="W66" s="729"/>
      <c r="X66" s="729"/>
      <c r="Y66" s="729"/>
      <c r="Z66" s="729"/>
      <c r="AA66" s="729"/>
      <c r="AB66" s="714"/>
    </row>
    <row r="67" spans="3:32" ht="13.9" customHeight="1">
      <c r="C67" s="714"/>
      <c r="D67" s="729" t="s">
        <v>495</v>
      </c>
      <c r="E67" s="729"/>
      <c r="F67" s="729"/>
      <c r="G67" s="729"/>
      <c r="H67" s="729"/>
      <c r="I67" s="729"/>
      <c r="J67" s="729"/>
      <c r="K67" s="729"/>
      <c r="L67" s="729"/>
      <c r="M67" s="729"/>
      <c r="N67" s="729"/>
      <c r="O67" s="729"/>
      <c r="P67" s="729"/>
      <c r="Q67" s="729"/>
      <c r="R67" s="729"/>
      <c r="S67" s="729"/>
      <c r="T67" s="729"/>
      <c r="U67" s="729"/>
      <c r="V67" s="729"/>
      <c r="W67" s="729"/>
      <c r="X67" s="729"/>
      <c r="Y67" s="729"/>
      <c r="Z67" s="729"/>
      <c r="AA67" s="729"/>
      <c r="AB67" s="714"/>
    </row>
    <row r="68" spans="3:32" ht="14.1" customHeight="1">
      <c r="C68" s="714"/>
      <c r="D68" s="729" t="s">
        <v>483</v>
      </c>
      <c r="E68" s="729"/>
      <c r="F68" s="729"/>
      <c r="G68" s="729"/>
      <c r="H68" s="729"/>
      <c r="I68" s="729"/>
      <c r="J68" s="729"/>
      <c r="K68" s="729"/>
      <c r="L68" s="729"/>
      <c r="M68" s="729"/>
      <c r="N68" s="729"/>
      <c r="O68" s="729"/>
      <c r="P68" s="729"/>
      <c r="Q68" s="729"/>
      <c r="R68" s="729"/>
      <c r="S68" s="729"/>
      <c r="T68" s="729"/>
      <c r="U68" s="729"/>
      <c r="V68" s="729"/>
      <c r="W68" s="729"/>
      <c r="X68" s="729"/>
      <c r="Y68" s="729"/>
      <c r="Z68" s="729"/>
      <c r="AA68" s="729"/>
      <c r="AB68" s="714"/>
    </row>
    <row r="69" spans="3:32" ht="14.1" customHeight="1">
      <c r="C69" s="714"/>
      <c r="D69" s="729" t="s">
        <v>484</v>
      </c>
      <c r="E69" s="729"/>
      <c r="F69" s="729"/>
      <c r="G69" s="729"/>
      <c r="H69" s="729"/>
      <c r="I69" s="729"/>
      <c r="J69" s="729"/>
      <c r="K69" s="729"/>
      <c r="L69" s="729"/>
      <c r="M69" s="729"/>
      <c r="N69" s="729"/>
      <c r="O69" s="729"/>
      <c r="P69" s="729"/>
      <c r="Q69" s="729"/>
      <c r="R69" s="729"/>
      <c r="S69" s="729"/>
      <c r="T69" s="729"/>
      <c r="U69" s="729"/>
      <c r="V69" s="729"/>
      <c r="W69" s="729"/>
      <c r="X69" s="729"/>
      <c r="Y69" s="729"/>
      <c r="Z69" s="729"/>
      <c r="AA69" s="729"/>
      <c r="AB69" s="714"/>
    </row>
    <row r="70" spans="3:32" ht="14.1" customHeight="1">
      <c r="C70" s="714"/>
      <c r="D70" s="729" t="s">
        <v>487</v>
      </c>
      <c r="E70" s="729"/>
      <c r="F70" s="729"/>
      <c r="G70" s="729"/>
      <c r="H70" s="729"/>
      <c r="I70" s="729"/>
      <c r="J70" s="729"/>
      <c r="K70" s="729"/>
      <c r="L70" s="729"/>
      <c r="M70" s="729"/>
      <c r="N70" s="729"/>
      <c r="O70" s="729"/>
      <c r="P70" s="729"/>
      <c r="Q70" s="729"/>
      <c r="R70" s="729"/>
      <c r="S70" s="729"/>
      <c r="T70" s="729"/>
      <c r="U70" s="729"/>
      <c r="V70" s="729"/>
      <c r="W70" s="729"/>
      <c r="X70" s="729"/>
      <c r="Y70" s="729"/>
      <c r="Z70" s="729"/>
      <c r="AA70" s="729"/>
      <c r="AB70" s="714"/>
    </row>
    <row r="71" spans="3:32" ht="14.1" customHeight="1">
      <c r="C71" s="714"/>
      <c r="D71" s="729" t="s">
        <v>485</v>
      </c>
      <c r="E71" s="729"/>
      <c r="F71" s="729"/>
      <c r="G71" s="729"/>
      <c r="H71" s="729"/>
      <c r="I71" s="729"/>
      <c r="J71" s="729"/>
      <c r="K71" s="729"/>
      <c r="L71" s="729"/>
      <c r="M71" s="729"/>
      <c r="N71" s="729"/>
      <c r="O71" s="729"/>
      <c r="P71" s="729"/>
      <c r="Q71" s="729"/>
      <c r="R71" s="729"/>
      <c r="S71" s="729"/>
      <c r="T71" s="729"/>
      <c r="U71" s="729"/>
      <c r="V71" s="729"/>
      <c r="W71" s="729"/>
      <c r="X71" s="729"/>
      <c r="Y71" s="729"/>
      <c r="Z71" s="729"/>
      <c r="AA71" s="729"/>
      <c r="AB71" s="714"/>
    </row>
    <row r="72" spans="3:32" ht="14.1" customHeight="1">
      <c r="C72" s="714"/>
      <c r="D72" s="729" t="s">
        <v>486</v>
      </c>
      <c r="E72" s="729"/>
      <c r="F72" s="729"/>
      <c r="G72" s="729"/>
      <c r="H72" s="729"/>
      <c r="I72" s="729"/>
      <c r="J72" s="729"/>
      <c r="K72" s="729"/>
      <c r="L72" s="729"/>
      <c r="M72" s="729"/>
      <c r="N72" s="729"/>
      <c r="O72" s="729"/>
      <c r="P72" s="729"/>
      <c r="Q72" s="729"/>
      <c r="R72" s="729"/>
      <c r="S72" s="729"/>
      <c r="T72" s="729"/>
      <c r="U72" s="729"/>
      <c r="V72" s="729"/>
      <c r="W72" s="729"/>
      <c r="X72" s="729"/>
      <c r="Y72" s="729"/>
      <c r="Z72" s="729"/>
      <c r="AA72" s="729"/>
      <c r="AB72" s="714"/>
    </row>
    <row r="73" spans="3:32" ht="6.4" customHeight="1">
      <c r="C73" s="714"/>
      <c r="D73" s="714"/>
      <c r="E73" s="714"/>
      <c r="F73" s="714"/>
      <c r="G73" s="714"/>
      <c r="H73" s="714"/>
      <c r="I73" s="714"/>
      <c r="J73" s="714"/>
      <c r="K73" s="714"/>
      <c r="L73" s="714"/>
      <c r="M73" s="714"/>
      <c r="N73" s="714"/>
      <c r="O73" s="714"/>
      <c r="P73" s="714"/>
      <c r="Q73" s="714"/>
      <c r="R73" s="714"/>
      <c r="S73" s="714"/>
      <c r="T73" s="714"/>
      <c r="U73" s="714"/>
      <c r="V73" s="714"/>
      <c r="W73" s="714"/>
      <c r="X73" s="714"/>
      <c r="Y73" s="714"/>
      <c r="Z73" s="714"/>
      <c r="AA73" s="714"/>
      <c r="AB73" s="714"/>
    </row>
    <row r="74" spans="3:32" ht="14.1" customHeight="1">
      <c r="C74" s="714"/>
      <c r="D74" s="716" t="s">
        <v>424</v>
      </c>
      <c r="E74" s="710"/>
      <c r="F74" s="710"/>
      <c r="G74" s="710"/>
      <c r="H74" s="710"/>
      <c r="I74" s="710"/>
      <c r="J74" s="710"/>
      <c r="K74" s="710"/>
      <c r="L74" s="710"/>
      <c r="M74" s="710"/>
      <c r="N74" s="710"/>
      <c r="O74" s="710"/>
      <c r="P74" s="710"/>
      <c r="Q74" s="710"/>
      <c r="R74" s="710"/>
      <c r="S74" s="710"/>
      <c r="T74" s="710"/>
      <c r="U74" s="710"/>
      <c r="V74" s="710"/>
      <c r="W74" s="710"/>
      <c r="X74" s="710"/>
      <c r="Y74" s="710"/>
      <c r="Z74" s="710"/>
      <c r="AA74" s="710"/>
      <c r="AB74" s="714"/>
    </row>
    <row r="75" spans="3:32" ht="14.1" customHeight="1">
      <c r="C75" s="714"/>
      <c r="D75" s="729" t="s">
        <v>419</v>
      </c>
      <c r="E75" s="710"/>
      <c r="F75" s="710"/>
      <c r="G75" s="710"/>
      <c r="H75" s="710"/>
      <c r="I75" s="710"/>
      <c r="J75" s="710"/>
      <c r="K75" s="710"/>
      <c r="L75" s="710"/>
      <c r="M75" s="710"/>
      <c r="N75" s="710"/>
      <c r="O75" s="710"/>
      <c r="P75" s="710"/>
      <c r="Q75" s="710"/>
      <c r="R75" s="710"/>
      <c r="S75" s="710"/>
      <c r="T75" s="710"/>
      <c r="U75" s="710"/>
      <c r="V75" s="710"/>
      <c r="W75" s="710"/>
      <c r="X75" s="710"/>
      <c r="Y75" s="710"/>
      <c r="Z75" s="710"/>
      <c r="AA75" s="710"/>
      <c r="AB75" s="714"/>
      <c r="AF75" s="721"/>
    </row>
    <row r="76" spans="3:32" ht="14.1" customHeight="1">
      <c r="C76" s="714"/>
      <c r="D76" s="729" t="s">
        <v>420</v>
      </c>
      <c r="E76" s="710"/>
      <c r="F76" s="710"/>
      <c r="G76" s="710"/>
      <c r="H76" s="710"/>
      <c r="I76" s="710"/>
      <c r="J76" s="710"/>
      <c r="K76" s="710"/>
      <c r="L76" s="710"/>
      <c r="M76" s="710"/>
      <c r="N76" s="710"/>
      <c r="O76" s="710"/>
      <c r="P76" s="710"/>
      <c r="Q76" s="710"/>
      <c r="R76" s="710"/>
      <c r="S76" s="710"/>
      <c r="T76" s="710"/>
      <c r="U76" s="710"/>
      <c r="V76" s="710"/>
      <c r="W76" s="710"/>
      <c r="X76" s="710"/>
      <c r="Y76" s="710"/>
      <c r="Z76" s="710"/>
      <c r="AA76" s="710"/>
      <c r="AB76" s="714"/>
    </row>
    <row r="77" spans="3:32" ht="6.4" customHeight="1">
      <c r="C77" s="714"/>
      <c r="D77" s="714"/>
      <c r="E77" s="714"/>
      <c r="F77" s="714"/>
      <c r="G77" s="714"/>
      <c r="H77" s="714"/>
      <c r="I77" s="714"/>
      <c r="J77" s="714"/>
      <c r="K77" s="714"/>
      <c r="L77" s="714"/>
      <c r="M77" s="714"/>
      <c r="N77" s="714"/>
      <c r="O77" s="714"/>
      <c r="P77" s="714"/>
      <c r="Q77" s="714"/>
      <c r="R77" s="714"/>
      <c r="S77" s="714"/>
      <c r="T77" s="714"/>
      <c r="U77" s="714"/>
      <c r="V77" s="714"/>
      <c r="W77" s="714"/>
      <c r="X77" s="714"/>
      <c r="Y77" s="714"/>
      <c r="Z77" s="714"/>
      <c r="AA77" s="714"/>
      <c r="AB77" s="714"/>
    </row>
    <row r="78" spans="3:32" ht="14.1" customHeight="1">
      <c r="C78" s="714"/>
      <c r="D78" s="716" t="s">
        <v>425</v>
      </c>
      <c r="E78" s="710"/>
      <c r="F78" s="710"/>
      <c r="G78" s="710"/>
      <c r="H78" s="710"/>
      <c r="I78" s="710"/>
      <c r="J78" s="710"/>
      <c r="K78" s="710"/>
      <c r="L78" s="710"/>
      <c r="M78" s="710"/>
      <c r="N78" s="710"/>
      <c r="O78" s="710"/>
      <c r="P78" s="710"/>
      <c r="Q78" s="710"/>
      <c r="R78" s="710"/>
      <c r="S78" s="710"/>
      <c r="T78" s="710"/>
      <c r="U78" s="710"/>
      <c r="V78" s="710"/>
      <c r="W78" s="710"/>
      <c r="X78" s="710"/>
      <c r="Y78" s="710"/>
      <c r="Z78" s="710"/>
      <c r="AA78" s="710"/>
      <c r="AB78" s="714"/>
    </row>
    <row r="79" spans="3:32" ht="12.2" customHeight="1">
      <c r="C79" s="714"/>
      <c r="D79" s="729" t="s">
        <v>421</v>
      </c>
      <c r="E79" s="710"/>
      <c r="F79" s="710"/>
      <c r="G79" s="710"/>
      <c r="H79" s="710"/>
      <c r="I79" s="710"/>
      <c r="J79" s="710"/>
      <c r="K79" s="710"/>
      <c r="L79" s="710"/>
      <c r="M79" s="710"/>
      <c r="N79" s="710"/>
      <c r="O79" s="710"/>
      <c r="P79" s="710"/>
      <c r="Q79" s="710"/>
      <c r="R79" s="710"/>
      <c r="S79" s="710"/>
      <c r="T79" s="710"/>
      <c r="U79" s="710"/>
      <c r="V79" s="710"/>
      <c r="W79" s="710"/>
      <c r="X79" s="710"/>
      <c r="Y79" s="710"/>
      <c r="Z79" s="710"/>
      <c r="AA79" s="710"/>
      <c r="AB79" s="714"/>
    </row>
    <row r="80" spans="3:32" ht="12.2" customHeight="1">
      <c r="C80" s="714"/>
      <c r="D80" s="729" t="s">
        <v>427</v>
      </c>
      <c r="E80" s="710"/>
      <c r="F80" s="710"/>
      <c r="G80" s="710"/>
      <c r="H80" s="710"/>
      <c r="I80" s="710"/>
      <c r="J80" s="710"/>
      <c r="K80" s="710"/>
      <c r="L80" s="710"/>
      <c r="M80" s="710"/>
      <c r="N80" s="710"/>
      <c r="O80" s="710"/>
      <c r="P80" s="710"/>
      <c r="Q80" s="710"/>
      <c r="R80" s="710"/>
      <c r="S80" s="710"/>
      <c r="T80" s="710"/>
      <c r="U80" s="710"/>
      <c r="V80" s="710"/>
      <c r="W80" s="710"/>
      <c r="X80" s="710"/>
      <c r="Y80" s="710"/>
      <c r="Z80" s="710"/>
      <c r="AA80" s="710"/>
      <c r="AB80" s="714"/>
    </row>
    <row r="81" spans="2:28" ht="6.4" customHeight="1">
      <c r="C81" s="714"/>
      <c r="D81" s="714"/>
      <c r="E81" s="714"/>
      <c r="F81" s="714"/>
      <c r="G81" s="714"/>
      <c r="H81" s="714"/>
      <c r="I81" s="714"/>
      <c r="J81" s="714"/>
      <c r="K81" s="714"/>
      <c r="L81" s="714"/>
      <c r="M81" s="714"/>
      <c r="N81" s="714"/>
      <c r="O81" s="714"/>
      <c r="P81" s="714"/>
      <c r="Q81" s="714"/>
      <c r="R81" s="714"/>
      <c r="S81" s="714"/>
      <c r="T81" s="714"/>
      <c r="U81" s="714"/>
      <c r="V81" s="714"/>
      <c r="W81" s="714"/>
      <c r="X81" s="714"/>
      <c r="Y81" s="714"/>
      <c r="Z81" s="714"/>
      <c r="AA81" s="714"/>
      <c r="AB81" s="714"/>
    </row>
    <row r="82" spans="2:28" ht="14.1" customHeight="1">
      <c r="C82" s="714"/>
      <c r="D82" s="716" t="s">
        <v>426</v>
      </c>
      <c r="E82" s="710"/>
      <c r="F82" s="710"/>
      <c r="G82" s="710"/>
      <c r="H82" s="710"/>
      <c r="I82" s="710"/>
      <c r="J82" s="710"/>
      <c r="K82" s="710"/>
      <c r="L82" s="710"/>
      <c r="M82" s="710"/>
      <c r="N82" s="710"/>
      <c r="O82" s="710"/>
      <c r="P82" s="710"/>
      <c r="Q82" s="710"/>
      <c r="R82" s="710"/>
      <c r="S82" s="710"/>
      <c r="T82" s="710"/>
      <c r="U82" s="710"/>
      <c r="V82" s="710"/>
      <c r="W82" s="710"/>
      <c r="X82" s="710"/>
      <c r="Y82" s="710"/>
      <c r="Z82" s="710"/>
      <c r="AA82" s="710"/>
      <c r="AB82" s="714"/>
    </row>
    <row r="83" spans="2:28" ht="12.2" customHeight="1">
      <c r="C83" s="714"/>
      <c r="D83" s="729" t="s">
        <v>422</v>
      </c>
      <c r="E83" s="710"/>
      <c r="F83" s="710"/>
      <c r="G83" s="710"/>
      <c r="H83" s="710"/>
      <c r="I83" s="710"/>
      <c r="J83" s="710"/>
      <c r="K83" s="710"/>
      <c r="L83" s="710"/>
      <c r="M83" s="710"/>
      <c r="N83" s="710"/>
      <c r="O83" s="710"/>
      <c r="P83" s="710"/>
      <c r="Q83" s="710"/>
      <c r="R83" s="710"/>
      <c r="S83" s="710"/>
      <c r="T83" s="710"/>
      <c r="U83" s="710"/>
      <c r="V83" s="710"/>
      <c r="W83" s="710"/>
      <c r="X83" s="710"/>
      <c r="Y83" s="710"/>
      <c r="Z83" s="710"/>
      <c r="AA83" s="710"/>
      <c r="AB83" s="714"/>
    </row>
    <row r="84" spans="2:28" ht="12.2" customHeight="1">
      <c r="C84" s="714"/>
      <c r="D84" s="729" t="s">
        <v>423</v>
      </c>
      <c r="E84" s="710"/>
      <c r="F84" s="710"/>
      <c r="G84" s="710"/>
      <c r="H84" s="710"/>
      <c r="I84" s="710"/>
      <c r="J84" s="710"/>
      <c r="K84" s="710"/>
      <c r="L84" s="710"/>
      <c r="M84" s="710"/>
      <c r="N84" s="710"/>
      <c r="O84" s="710"/>
      <c r="P84" s="710"/>
      <c r="Q84" s="710"/>
      <c r="R84" s="710"/>
      <c r="S84" s="710"/>
      <c r="T84" s="710"/>
      <c r="U84" s="710"/>
      <c r="V84" s="710"/>
      <c r="W84" s="710"/>
      <c r="X84" s="710"/>
      <c r="Y84" s="710"/>
      <c r="Z84" s="710"/>
      <c r="AA84" s="710"/>
      <c r="AB84" s="714"/>
    </row>
    <row r="85" spans="2:28" ht="6.4" customHeight="1">
      <c r="C85" s="714"/>
      <c r="D85" s="714"/>
      <c r="E85" s="714"/>
      <c r="F85" s="714"/>
      <c r="G85" s="714"/>
      <c r="H85" s="714"/>
      <c r="I85" s="714"/>
      <c r="J85" s="714"/>
      <c r="K85" s="714"/>
      <c r="L85" s="714"/>
      <c r="M85" s="714"/>
      <c r="N85" s="714"/>
      <c r="O85" s="714"/>
      <c r="P85" s="714"/>
      <c r="Q85" s="714"/>
      <c r="R85" s="714"/>
      <c r="S85" s="714"/>
      <c r="T85" s="714"/>
      <c r="U85" s="714"/>
      <c r="V85" s="714"/>
      <c r="W85" s="714"/>
      <c r="X85" s="714"/>
      <c r="Y85" s="714"/>
      <c r="Z85" s="714"/>
      <c r="AA85" s="714"/>
      <c r="AB85" s="714"/>
    </row>
    <row r="86" spans="2:28" s="710" customFormat="1" ht="12.2" customHeight="1">
      <c r="B86" s="736"/>
      <c r="D86" s="717" t="s">
        <v>384</v>
      </c>
    </row>
    <row r="87" spans="2:28" s="710" customFormat="1" ht="12.2" customHeight="1">
      <c r="B87" s="736"/>
      <c r="D87" s="717" t="s">
        <v>385</v>
      </c>
    </row>
    <row r="88" spans="2:28" s="710" customFormat="1" ht="12.2" customHeight="1">
      <c r="B88" s="736"/>
    </row>
    <row r="89" spans="2:28" ht="18" customHeight="1">
      <c r="C89" s="702" t="s">
        <v>386</v>
      </c>
      <c r="D89" s="712" t="s">
        <v>491</v>
      </c>
    </row>
    <row r="90" spans="2:28" ht="6.4" customHeight="1"/>
    <row r="91" spans="2:28" ht="18" customHeight="1">
      <c r="B91" s="741"/>
      <c r="C91" s="702" t="s">
        <v>387</v>
      </c>
      <c r="D91" s="718" t="s">
        <v>345</v>
      </c>
    </row>
    <row r="92" spans="2:28" ht="6.4" customHeight="1">
      <c r="B92" s="741"/>
    </row>
    <row r="93" spans="2:28" ht="12.2" customHeight="1">
      <c r="B93" s="741"/>
      <c r="E93" s="721" t="s">
        <v>428</v>
      </c>
    </row>
    <row r="94" spans="2:28" ht="12.2" customHeight="1">
      <c r="E94" s="702" t="s">
        <v>388</v>
      </c>
    </row>
    <row r="95" spans="2:28" ht="6.4" customHeight="1"/>
    <row r="96" spans="2:28" ht="12.2" customHeight="1">
      <c r="B96" s="741"/>
      <c r="E96" s="721" t="s">
        <v>967</v>
      </c>
    </row>
    <row r="97" spans="2:21" ht="12.2" customHeight="1">
      <c r="B97" s="741"/>
      <c r="E97" s="721" t="s">
        <v>1207</v>
      </c>
    </row>
    <row r="98" spans="2:21" ht="12.2" customHeight="1">
      <c r="B98" s="741"/>
      <c r="E98" s="721" t="s">
        <v>1208</v>
      </c>
    </row>
    <row r="99" spans="2:21" ht="12.2" customHeight="1">
      <c r="B99" s="741"/>
      <c r="E99" s="721" t="s">
        <v>911</v>
      </c>
    </row>
    <row r="100" spans="2:21" ht="12.2" customHeight="1">
      <c r="B100" s="741"/>
      <c r="E100" s="903" t="s">
        <v>912</v>
      </c>
    </row>
    <row r="101" spans="2:21" ht="12.2" customHeight="1">
      <c r="B101" s="741"/>
      <c r="E101" s="904" t="s">
        <v>1209</v>
      </c>
    </row>
    <row r="102" spans="2:21" ht="12.2" customHeight="1">
      <c r="B102" s="741"/>
      <c r="E102" s="721" t="s">
        <v>914</v>
      </c>
    </row>
    <row r="103" spans="2:21" ht="12.2" customHeight="1">
      <c r="B103" s="741"/>
      <c r="E103" s="721" t="s">
        <v>915</v>
      </c>
    </row>
    <row r="104" spans="2:21" ht="12.2" customHeight="1">
      <c r="B104" s="741"/>
      <c r="E104" s="721" t="s">
        <v>916</v>
      </c>
    </row>
    <row r="105" spans="2:21" ht="12.2" customHeight="1">
      <c r="B105" s="741"/>
      <c r="E105" s="721" t="s">
        <v>917</v>
      </c>
    </row>
    <row r="106" spans="2:21" ht="12.2" customHeight="1">
      <c r="B106" s="741"/>
      <c r="E106" s="1215" t="s">
        <v>1210</v>
      </c>
    </row>
    <row r="107" spans="2:21" ht="12.2" customHeight="1">
      <c r="B107" s="741"/>
      <c r="E107" s="1131" t="s">
        <v>1211</v>
      </c>
      <c r="F107" s="901"/>
      <c r="G107" s="901"/>
      <c r="H107" s="901"/>
      <c r="I107" s="901"/>
      <c r="J107" s="901"/>
      <c r="K107" s="901"/>
      <c r="L107" s="901"/>
      <c r="M107" s="901"/>
      <c r="N107" s="901"/>
      <c r="O107" s="901"/>
      <c r="P107" s="901"/>
      <c r="Q107" s="901"/>
      <c r="R107" s="901"/>
      <c r="S107" s="901"/>
      <c r="T107" s="901"/>
      <c r="U107" s="901"/>
    </row>
    <row r="108" spans="2:21" ht="12.2" customHeight="1">
      <c r="B108" s="741"/>
      <c r="E108" s="1131" t="s">
        <v>1212</v>
      </c>
      <c r="F108" s="901"/>
      <c r="G108" s="901"/>
      <c r="H108" s="901"/>
      <c r="I108" s="901"/>
      <c r="J108" s="901"/>
      <c r="K108" s="901"/>
      <c r="L108" s="901"/>
      <c r="M108" s="901"/>
      <c r="N108" s="901"/>
      <c r="O108" s="901"/>
      <c r="P108" s="901"/>
      <c r="Q108" s="901"/>
      <c r="R108" s="901"/>
      <c r="S108" s="901"/>
      <c r="T108" s="901"/>
      <c r="U108" s="901"/>
    </row>
    <row r="109" spans="2:21" ht="12.2" customHeight="1">
      <c r="B109" s="741"/>
      <c r="E109" s="1131" t="s">
        <v>1213</v>
      </c>
      <c r="F109" s="901"/>
      <c r="G109" s="901"/>
      <c r="H109" s="901"/>
      <c r="I109" s="901"/>
      <c r="J109" s="901"/>
      <c r="K109" s="901"/>
      <c r="L109" s="901"/>
      <c r="M109" s="901"/>
      <c r="N109" s="901"/>
      <c r="O109" s="901"/>
      <c r="P109" s="901"/>
      <c r="Q109" s="901"/>
      <c r="R109" s="901"/>
      <c r="S109" s="901"/>
      <c r="T109" s="901"/>
      <c r="U109" s="901"/>
    </row>
    <row r="110" spans="2:21" ht="12.2" customHeight="1">
      <c r="B110" s="741"/>
      <c r="E110" s="1131" t="s">
        <v>1214</v>
      </c>
      <c r="F110" s="901"/>
      <c r="G110" s="901"/>
      <c r="H110" s="901"/>
      <c r="I110" s="901"/>
      <c r="J110" s="901"/>
      <c r="K110" s="901"/>
      <c r="L110" s="901"/>
      <c r="M110" s="901"/>
      <c r="N110" s="901"/>
      <c r="O110" s="901"/>
      <c r="P110" s="901"/>
      <c r="Q110" s="901"/>
      <c r="R110" s="901"/>
      <c r="S110" s="901"/>
      <c r="T110" s="901"/>
      <c r="U110" s="901"/>
    </row>
    <row r="111" spans="2:21" ht="12.2" customHeight="1">
      <c r="B111" s="741"/>
      <c r="E111" s="721" t="s">
        <v>966</v>
      </c>
    </row>
    <row r="112" spans="2:21" ht="12.2" customHeight="1">
      <c r="B112" s="741"/>
      <c r="E112" s="721" t="s">
        <v>910</v>
      </c>
    </row>
    <row r="113" spans="2:5" ht="12.2" customHeight="1">
      <c r="B113" s="741"/>
      <c r="E113" s="721" t="s">
        <v>911</v>
      </c>
    </row>
    <row r="114" spans="2:5" ht="12.2" customHeight="1">
      <c r="B114" s="741"/>
      <c r="E114" s="903" t="s">
        <v>912</v>
      </c>
    </row>
    <row r="115" spans="2:5" ht="12.2" customHeight="1">
      <c r="B115" s="741"/>
      <c r="E115" s="904" t="s">
        <v>913</v>
      </c>
    </row>
    <row r="116" spans="2:5" ht="12.2" customHeight="1">
      <c r="B116" s="741"/>
      <c r="E116" s="721" t="s">
        <v>914</v>
      </c>
    </row>
    <row r="117" spans="2:5" ht="12.2" customHeight="1">
      <c r="B117" s="741"/>
      <c r="E117" s="721" t="s">
        <v>915</v>
      </c>
    </row>
    <row r="118" spans="2:5" ht="12.2" customHeight="1">
      <c r="B118" s="741"/>
      <c r="E118" s="721" t="s">
        <v>916</v>
      </c>
    </row>
    <row r="119" spans="2:5" ht="12.2" customHeight="1">
      <c r="B119" s="741"/>
      <c r="E119" s="721" t="s">
        <v>917</v>
      </c>
    </row>
    <row r="120" spans="2:5" ht="12.2" customHeight="1">
      <c r="B120" s="741"/>
      <c r="E120" s="904" t="s">
        <v>918</v>
      </c>
    </row>
    <row r="121" spans="2:5" ht="12.2" customHeight="1">
      <c r="B121" s="741"/>
      <c r="E121" s="721" t="s">
        <v>919</v>
      </c>
    </row>
    <row r="122" spans="2:5" ht="12.2" customHeight="1">
      <c r="B122" s="741"/>
      <c r="E122" s="721" t="s">
        <v>920</v>
      </c>
    </row>
    <row r="123" spans="2:5" ht="12.2" customHeight="1">
      <c r="B123" s="741"/>
      <c r="E123" s="721" t="s">
        <v>921</v>
      </c>
    </row>
    <row r="124" spans="2:5" ht="6.4" customHeight="1"/>
    <row r="125" spans="2:5" ht="12.2" customHeight="1">
      <c r="B125" s="741"/>
      <c r="E125" s="904" t="s">
        <v>922</v>
      </c>
    </row>
    <row r="126" spans="2:5" ht="12.2" customHeight="1">
      <c r="B126" s="741"/>
      <c r="E126" s="721" t="s">
        <v>710</v>
      </c>
    </row>
    <row r="127" spans="2:5" ht="12.2" customHeight="1">
      <c r="B127" s="741"/>
      <c r="E127" s="721" t="s">
        <v>711</v>
      </c>
    </row>
    <row r="128" spans="2:5" ht="12.2" customHeight="1">
      <c r="B128" s="741"/>
      <c r="E128" s="721" t="s">
        <v>712</v>
      </c>
    </row>
    <row r="129" spans="2:5" ht="12.2" customHeight="1">
      <c r="B129" s="741"/>
      <c r="E129" s="721" t="s">
        <v>713</v>
      </c>
    </row>
    <row r="130" spans="2:5" ht="12.2" customHeight="1">
      <c r="B130" s="741"/>
      <c r="E130" s="721" t="s">
        <v>714</v>
      </c>
    </row>
    <row r="131" spans="2:5" ht="12.2" customHeight="1">
      <c r="B131" s="741"/>
      <c r="E131" s="721" t="s">
        <v>715</v>
      </c>
    </row>
    <row r="132" spans="2:5" ht="12.2" customHeight="1">
      <c r="B132" s="741"/>
      <c r="E132" s="721" t="s">
        <v>716</v>
      </c>
    </row>
    <row r="133" spans="2:5" ht="12.2" customHeight="1">
      <c r="B133" s="741"/>
      <c r="E133" s="721" t="s">
        <v>717</v>
      </c>
    </row>
    <row r="134" spans="2:5" ht="12.2" customHeight="1">
      <c r="B134" s="741"/>
      <c r="E134" s="721" t="s">
        <v>718</v>
      </c>
    </row>
    <row r="135" spans="2:5" ht="12.2" customHeight="1">
      <c r="B135" s="741"/>
      <c r="E135" s="721" t="s">
        <v>719</v>
      </c>
    </row>
    <row r="136" spans="2:5" ht="12.2" customHeight="1">
      <c r="B136" s="741"/>
      <c r="E136" s="721" t="s">
        <v>720</v>
      </c>
    </row>
    <row r="137" spans="2:5" ht="12.2" customHeight="1">
      <c r="B137" s="741"/>
      <c r="E137" s="721" t="s">
        <v>721</v>
      </c>
    </row>
    <row r="138" spans="2:5" ht="12.2" customHeight="1">
      <c r="B138" s="741"/>
      <c r="E138" s="721" t="s">
        <v>722</v>
      </c>
    </row>
    <row r="139" spans="2:5" ht="12.2" customHeight="1">
      <c r="B139" s="741"/>
      <c r="E139" s="721" t="s">
        <v>723</v>
      </c>
    </row>
    <row r="140" spans="2:5" ht="12.2" customHeight="1">
      <c r="B140" s="741"/>
      <c r="E140" s="721" t="s">
        <v>724</v>
      </c>
    </row>
    <row r="141" spans="2:5" ht="12.2" customHeight="1">
      <c r="E141" s="721" t="s">
        <v>725</v>
      </c>
    </row>
    <row r="142" spans="2:5" ht="12.2" customHeight="1">
      <c r="E142" s="721" t="s">
        <v>726</v>
      </c>
    </row>
    <row r="143" spans="2:5" ht="6.4" customHeight="1"/>
    <row r="144" spans="2:5" ht="12.2" customHeight="1">
      <c r="E144" s="721" t="s">
        <v>727</v>
      </c>
    </row>
    <row r="145" spans="5:6" ht="12.2" customHeight="1">
      <c r="E145" s="721" t="s">
        <v>728</v>
      </c>
    </row>
    <row r="146" spans="5:6" ht="12.2" customHeight="1">
      <c r="E146" s="702" t="s">
        <v>729</v>
      </c>
    </row>
    <row r="147" spans="5:6" ht="12.2" customHeight="1">
      <c r="E147" s="702" t="s">
        <v>730</v>
      </c>
    </row>
    <row r="148" spans="5:6" ht="12.2" customHeight="1">
      <c r="E148" s="702" t="s">
        <v>731</v>
      </c>
    </row>
    <row r="149" spans="5:6" ht="12.2" customHeight="1">
      <c r="F149" s="719" t="s">
        <v>732</v>
      </c>
    </row>
    <row r="150" spans="5:6" ht="6.4" customHeight="1"/>
    <row r="151" spans="5:6" ht="12.2" customHeight="1">
      <c r="E151" s="721" t="s">
        <v>429</v>
      </c>
    </row>
    <row r="152" spans="5:6" ht="12.2" customHeight="1">
      <c r="E152" s="721" t="s">
        <v>430</v>
      </c>
    </row>
    <row r="153" spans="5:6" ht="12.2" customHeight="1">
      <c r="F153" s="719" t="s">
        <v>431</v>
      </c>
    </row>
    <row r="154" spans="5:6" ht="6.4" customHeight="1"/>
    <row r="155" spans="5:6" ht="12.2" customHeight="1">
      <c r="E155" s="721" t="s">
        <v>432</v>
      </c>
    </row>
    <row r="156" spans="5:6" ht="12.2" customHeight="1">
      <c r="E156" s="721" t="s">
        <v>433</v>
      </c>
    </row>
    <row r="157" spans="5:6" ht="12.2" customHeight="1">
      <c r="E157" s="721" t="s">
        <v>434</v>
      </c>
    </row>
    <row r="158" spans="5:6" ht="12.2" customHeight="1">
      <c r="F158" s="719" t="s">
        <v>389</v>
      </c>
    </row>
    <row r="159" spans="5:6" ht="6.4" customHeight="1"/>
    <row r="160" spans="5:6" ht="12.2" customHeight="1">
      <c r="E160" s="721" t="s">
        <v>435</v>
      </c>
    </row>
    <row r="161" spans="2:28" ht="12.2" customHeight="1">
      <c r="E161" s="721" t="s">
        <v>437</v>
      </c>
    </row>
    <row r="162" spans="2:28" ht="12.2" customHeight="1">
      <c r="F162" s="719" t="s">
        <v>1224</v>
      </c>
    </row>
    <row r="164" spans="2:28" ht="18" customHeight="1">
      <c r="B164" s="737"/>
      <c r="C164" s="702" t="s">
        <v>390</v>
      </c>
      <c r="D164" s="718" t="s">
        <v>436</v>
      </c>
      <c r="AB164" s="720"/>
    </row>
    <row r="165" spans="2:28" ht="6.4" customHeight="1">
      <c r="B165" s="737"/>
    </row>
    <row r="166" spans="2:28" ht="12.2" customHeight="1">
      <c r="B166" s="737"/>
      <c r="E166" s="721" t="s">
        <v>438</v>
      </c>
    </row>
    <row r="167" spans="2:28" ht="12.2" customHeight="1">
      <c r="E167" s="702" t="s">
        <v>439</v>
      </c>
    </row>
    <row r="168" spans="2:28" ht="12.2" customHeight="1">
      <c r="E168" s="721" t="s">
        <v>496</v>
      </c>
    </row>
    <row r="169" spans="2:28" ht="12.2" customHeight="1">
      <c r="E169" s="721" t="s">
        <v>440</v>
      </c>
    </row>
    <row r="170" spans="2:28" ht="12.2" customHeight="1">
      <c r="E170" s="721" t="s">
        <v>441</v>
      </c>
    </row>
    <row r="171" spans="2:28" ht="12.2" customHeight="1">
      <c r="E171" s="721" t="s">
        <v>442</v>
      </c>
    </row>
    <row r="172" spans="2:28" ht="12.2" customHeight="1">
      <c r="E172" s="721"/>
      <c r="F172" s="719" t="s">
        <v>393</v>
      </c>
    </row>
    <row r="173" spans="2:28" ht="6.4" customHeight="1"/>
    <row r="174" spans="2:28" ht="12.2" customHeight="1">
      <c r="E174" s="702" t="s">
        <v>394</v>
      </c>
    </row>
    <row r="175" spans="2:28" ht="12.2" customHeight="1">
      <c r="E175" s="702" t="s">
        <v>395</v>
      </c>
    </row>
    <row r="176" spans="2:28" ht="12.2" customHeight="1">
      <c r="E176" s="721" t="s">
        <v>497</v>
      </c>
    </row>
    <row r="177" spans="2:12" ht="12.2" customHeight="1">
      <c r="E177" s="702" t="s">
        <v>396</v>
      </c>
    </row>
    <row r="178" spans="2:12" ht="12.2" customHeight="1">
      <c r="E178" s="702" t="s">
        <v>397</v>
      </c>
    </row>
    <row r="179" spans="2:12" ht="12.2" customHeight="1">
      <c r="F179" s="719" t="s">
        <v>398</v>
      </c>
    </row>
    <row r="180" spans="2:12" ht="6.4" customHeight="1"/>
    <row r="181" spans="2:12" ht="12.2" customHeight="1">
      <c r="E181" s="721" t="s">
        <v>443</v>
      </c>
    </row>
    <row r="182" spans="2:12" ht="12.2" customHeight="1">
      <c r="E182" s="721" t="s">
        <v>501</v>
      </c>
    </row>
    <row r="183" spans="2:12" ht="12.2" customHeight="1">
      <c r="E183" s="721" t="s">
        <v>498</v>
      </c>
      <c r="F183" s="719"/>
    </row>
    <row r="184" spans="2:12" ht="12.2" customHeight="1">
      <c r="E184" s="721" t="s">
        <v>500</v>
      </c>
      <c r="F184" s="719"/>
    </row>
    <row r="185" spans="2:12" ht="12.2" customHeight="1">
      <c r="E185" s="721" t="s">
        <v>499</v>
      </c>
      <c r="F185" s="719"/>
    </row>
    <row r="186" spans="2:12" ht="12.2" customHeight="1">
      <c r="F186" s="719" t="s">
        <v>444</v>
      </c>
    </row>
    <row r="188" spans="2:12" ht="18" customHeight="1">
      <c r="B188" s="737"/>
      <c r="C188" s="702" t="s">
        <v>392</v>
      </c>
      <c r="D188" s="718" t="s">
        <v>445</v>
      </c>
      <c r="J188" s="1229"/>
      <c r="K188" s="1229"/>
      <c r="L188" s="1229"/>
    </row>
    <row r="189" spans="2:12" ht="6.4" customHeight="1">
      <c r="B189" s="737"/>
    </row>
    <row r="190" spans="2:12" ht="12.2" customHeight="1">
      <c r="B190" s="737"/>
      <c r="E190" s="721" t="s">
        <v>502</v>
      </c>
    </row>
    <row r="191" spans="2:12" ht="12.2" customHeight="1">
      <c r="E191" s="721" t="s">
        <v>503</v>
      </c>
    </row>
    <row r="192" spans="2:12" s="710" customFormat="1" ht="6" customHeight="1">
      <c r="B192" s="736"/>
      <c r="D192" s="711"/>
      <c r="E192" s="711"/>
      <c r="F192" s="711"/>
      <c r="G192" s="711"/>
      <c r="H192" s="711"/>
      <c r="I192" s="711"/>
    </row>
    <row r="193" spans="2:12" ht="12.2" customHeight="1">
      <c r="E193" s="721" t="s">
        <v>446</v>
      </c>
    </row>
    <row r="194" spans="2:12" ht="12.2" customHeight="1">
      <c r="E194" s="721" t="s">
        <v>447</v>
      </c>
    </row>
    <row r="195" spans="2:12" ht="12.2" customHeight="1">
      <c r="E195" s="721" t="s">
        <v>504</v>
      </c>
    </row>
    <row r="197" spans="2:12" ht="18" customHeight="1">
      <c r="B197" s="737"/>
      <c r="C197" s="721" t="s">
        <v>399</v>
      </c>
      <c r="D197" s="718" t="s">
        <v>448</v>
      </c>
      <c r="J197" s="1229"/>
      <c r="K197" s="1229"/>
      <c r="L197" s="1229"/>
    </row>
    <row r="198" spans="2:12" ht="6.4" customHeight="1">
      <c r="B198" s="737"/>
    </row>
    <row r="199" spans="2:12" ht="12.2" customHeight="1">
      <c r="B199" s="737"/>
      <c r="E199" s="721" t="s">
        <v>449</v>
      </c>
    </row>
    <row r="200" spans="2:12" ht="12.2" customHeight="1">
      <c r="E200" s="721" t="s">
        <v>450</v>
      </c>
      <c r="F200" s="719"/>
    </row>
    <row r="201" spans="2:12" ht="12.2" customHeight="1">
      <c r="E201" s="721" t="s">
        <v>451</v>
      </c>
      <c r="F201" s="719"/>
    </row>
    <row r="202" spans="2:12" ht="12.2" customHeight="1">
      <c r="E202" s="721" t="s">
        <v>452</v>
      </c>
      <c r="F202" s="719"/>
    </row>
    <row r="203" spans="2:12" ht="12.2" customHeight="1">
      <c r="E203" s="721" t="s">
        <v>1220</v>
      </c>
      <c r="F203" s="719"/>
    </row>
    <row r="204" spans="2:12" ht="12.2" customHeight="1">
      <c r="E204" s="721" t="s">
        <v>1221</v>
      </c>
      <c r="F204" s="719"/>
    </row>
    <row r="205" spans="2:12" ht="12.2" customHeight="1">
      <c r="E205" s="721" t="s">
        <v>505</v>
      </c>
      <c r="F205" s="719"/>
    </row>
    <row r="206" spans="2:12" ht="12.2" customHeight="1">
      <c r="E206" s="721" t="s">
        <v>506</v>
      </c>
      <c r="F206" s="719"/>
    </row>
    <row r="207" spans="2:12" ht="12.2" customHeight="1">
      <c r="E207" s="721"/>
      <c r="F207" s="719" t="s">
        <v>1161</v>
      </c>
    </row>
    <row r="208" spans="2:12" ht="6.4" customHeight="1"/>
    <row r="209" spans="2:6" ht="12.2" customHeight="1">
      <c r="B209" s="737"/>
      <c r="E209" s="721" t="s">
        <v>507</v>
      </c>
    </row>
    <row r="210" spans="2:6" ht="12.2" customHeight="1">
      <c r="E210" s="721" t="s">
        <v>508</v>
      </c>
      <c r="F210" s="719"/>
    </row>
    <row r="211" spans="2:6" ht="6.4" customHeight="1"/>
    <row r="212" spans="2:6" ht="12.2" customHeight="1">
      <c r="B212" s="737"/>
      <c r="E212" s="721" t="s">
        <v>509</v>
      </c>
    </row>
    <row r="213" spans="2:6" ht="12.2" customHeight="1">
      <c r="E213" s="721" t="s">
        <v>453</v>
      </c>
      <c r="F213" s="719"/>
    </row>
    <row r="214" spans="2:6" ht="12.2" customHeight="1">
      <c r="E214" s="721" t="s">
        <v>454</v>
      </c>
      <c r="F214" s="719"/>
    </row>
    <row r="215" spans="2:6" ht="12.2" customHeight="1">
      <c r="E215" s="721" t="s">
        <v>455</v>
      </c>
      <c r="F215" s="719"/>
    </row>
    <row r="216" spans="2:6" ht="6.4" customHeight="1"/>
    <row r="217" spans="2:6" ht="12.2" customHeight="1">
      <c r="E217" s="721" t="s">
        <v>456</v>
      </c>
    </row>
    <row r="218" spans="2:6" ht="12.2" customHeight="1">
      <c r="E218" s="702" t="s">
        <v>457</v>
      </c>
    </row>
    <row r="220" spans="2:6" ht="18" customHeight="1">
      <c r="C220" s="702" t="s">
        <v>400</v>
      </c>
      <c r="D220" s="718" t="s">
        <v>510</v>
      </c>
    </row>
    <row r="221" spans="2:6" ht="6.4" customHeight="1"/>
    <row r="222" spans="2:6" ht="12.2" customHeight="1">
      <c r="B222" s="737"/>
      <c r="E222" s="702" t="s">
        <v>458</v>
      </c>
    </row>
    <row r="223" spans="2:6" ht="12.2" customHeight="1">
      <c r="E223" s="721" t="s">
        <v>511</v>
      </c>
    </row>
    <row r="224" spans="2:6" ht="12.2" customHeight="1">
      <c r="E224" s="721" t="s">
        <v>512</v>
      </c>
    </row>
    <row r="225" spans="2:32" ht="12.2" customHeight="1">
      <c r="E225" s="721" t="s">
        <v>513</v>
      </c>
    </row>
    <row r="226" spans="2:32" ht="12.2" customHeight="1">
      <c r="E226" s="721" t="s">
        <v>514</v>
      </c>
    </row>
    <row r="227" spans="2:32" ht="12.2" customHeight="1">
      <c r="E227" s="721" t="s">
        <v>515</v>
      </c>
    </row>
    <row r="228" spans="2:32" ht="12.2" customHeight="1">
      <c r="E228" s="721" t="s">
        <v>516</v>
      </c>
    </row>
    <row r="229" spans="2:32" ht="12.2" customHeight="1">
      <c r="E229" s="721" t="s">
        <v>517</v>
      </c>
    </row>
    <row r="231" spans="2:32" ht="18" customHeight="1">
      <c r="C231" s="723" t="s">
        <v>401</v>
      </c>
      <c r="D231" s="724" t="s">
        <v>352</v>
      </c>
    </row>
    <row r="232" spans="2:32" ht="6.4" customHeight="1"/>
    <row r="233" spans="2:32" ht="12.2" customHeight="1">
      <c r="B233" s="737"/>
      <c r="C233" s="722"/>
      <c r="E233" s="721" t="s">
        <v>459</v>
      </c>
    </row>
    <row r="234" spans="2:32" ht="12.2" customHeight="1">
      <c r="B234" s="737"/>
      <c r="E234" s="702" t="s">
        <v>460</v>
      </c>
      <c r="AF234" s="742"/>
    </row>
    <row r="235" spans="2:32" ht="6.4" customHeight="1"/>
    <row r="236" spans="2:32" ht="12.2" customHeight="1">
      <c r="B236" s="737"/>
      <c r="F236" s="721" t="s">
        <v>461</v>
      </c>
      <c r="AF236" s="742"/>
    </row>
    <row r="237" spans="2:32" ht="12.2" customHeight="1">
      <c r="B237" s="737"/>
      <c r="F237" s="738" t="s">
        <v>467</v>
      </c>
      <c r="I237" s="713" t="s">
        <v>469</v>
      </c>
      <c r="AF237" s="742"/>
    </row>
    <row r="238" spans="2:32" ht="12.2" customHeight="1">
      <c r="B238" s="737"/>
      <c r="F238" s="739" t="s">
        <v>468</v>
      </c>
      <c r="G238" s="740"/>
      <c r="H238" s="740"/>
      <c r="I238" s="739" t="s">
        <v>470</v>
      </c>
      <c r="J238" s="740"/>
      <c r="K238" s="740"/>
      <c r="L238" s="740"/>
      <c r="M238" s="740"/>
      <c r="N238" s="740"/>
      <c r="O238" s="740"/>
      <c r="P238" s="740"/>
      <c r="Q238" s="740"/>
      <c r="R238" s="740"/>
      <c r="S238" s="740"/>
      <c r="T238" s="740"/>
      <c r="U238" s="740"/>
      <c r="V238" s="740"/>
      <c r="W238" s="740"/>
      <c r="X238" s="740"/>
      <c r="Y238" s="740"/>
      <c r="Z238" s="740"/>
      <c r="AA238" s="740"/>
    </row>
    <row r="239" spans="2:32" ht="12.2" customHeight="1">
      <c r="B239" s="737"/>
      <c r="F239" s="738" t="s">
        <v>464</v>
      </c>
    </row>
    <row r="240" spans="2:32" ht="12.2" customHeight="1">
      <c r="B240" s="737"/>
      <c r="F240" s="838" t="s">
        <v>472</v>
      </c>
      <c r="G240" s="839"/>
      <c r="H240" s="839"/>
      <c r="I240" s="839"/>
      <c r="J240" s="839"/>
      <c r="K240" s="839"/>
      <c r="L240" s="839"/>
      <c r="M240" s="839"/>
      <c r="N240" s="839"/>
      <c r="O240" s="839"/>
      <c r="P240" s="839"/>
      <c r="Q240" s="839"/>
      <c r="R240" s="839"/>
      <c r="S240" s="839"/>
      <c r="T240" s="839"/>
      <c r="U240" s="839"/>
      <c r="V240" s="839"/>
      <c r="W240" s="839"/>
      <c r="X240" s="839"/>
      <c r="Y240" s="839"/>
      <c r="Z240" s="839"/>
      <c r="AA240" s="839"/>
    </row>
    <row r="241" spans="2:27" ht="4.9000000000000004" customHeight="1">
      <c r="B241" s="737"/>
      <c r="F241" s="838"/>
      <c r="G241" s="839"/>
      <c r="H241" s="839"/>
      <c r="I241" s="839"/>
      <c r="J241" s="839"/>
      <c r="K241" s="839"/>
      <c r="L241" s="839"/>
      <c r="M241" s="839"/>
      <c r="N241" s="839"/>
      <c r="O241" s="839"/>
      <c r="P241" s="839"/>
      <c r="Q241" s="839"/>
      <c r="R241" s="839"/>
      <c r="S241" s="839"/>
      <c r="T241" s="839"/>
      <c r="U241" s="839"/>
      <c r="V241" s="839"/>
      <c r="W241" s="839"/>
      <c r="X241" s="839"/>
      <c r="Y241" s="839"/>
      <c r="Z241" s="839"/>
      <c r="AA241" s="839"/>
    </row>
    <row r="242" spans="2:27" ht="12.2" customHeight="1">
      <c r="B242" s="737"/>
      <c r="F242" s="843" t="s">
        <v>968</v>
      </c>
      <c r="G242" s="839"/>
      <c r="H242" s="839"/>
      <c r="I242" s="839"/>
      <c r="J242" s="839"/>
      <c r="K242" s="839"/>
      <c r="L242" s="839"/>
      <c r="M242" s="839"/>
      <c r="N242" s="839"/>
      <c r="O242" s="839"/>
      <c r="P242" s="839"/>
      <c r="Q242" s="841"/>
      <c r="R242" s="839"/>
      <c r="S242" s="839"/>
      <c r="T242" s="841" t="s">
        <v>697</v>
      </c>
      <c r="U242" s="839"/>
      <c r="V242" s="839"/>
      <c r="W242" s="839"/>
      <c r="X242" s="839"/>
      <c r="Y242" s="839"/>
      <c r="Z242" s="839"/>
      <c r="AA242" s="839"/>
    </row>
    <row r="243" spans="2:27" ht="4.9000000000000004" customHeight="1">
      <c r="B243" s="737"/>
      <c r="F243" s="840"/>
      <c r="G243" s="740"/>
      <c r="H243" s="740"/>
      <c r="I243" s="740"/>
      <c r="J243" s="740"/>
      <c r="K243" s="740"/>
      <c r="L243" s="740"/>
      <c r="M243" s="740"/>
      <c r="N243" s="740"/>
      <c r="O243" s="740"/>
      <c r="P243" s="740"/>
      <c r="Q243" s="740"/>
      <c r="R243" s="740"/>
      <c r="S243" s="740"/>
      <c r="T243" s="740"/>
      <c r="U243" s="740"/>
      <c r="V243" s="740"/>
      <c r="W243" s="740"/>
      <c r="X243" s="740"/>
      <c r="Y243" s="740"/>
      <c r="Z243" s="740"/>
      <c r="AA243" s="740"/>
    </row>
    <row r="244" spans="2:27" ht="12.2" customHeight="1">
      <c r="B244" s="737"/>
      <c r="F244" s="738" t="s">
        <v>471</v>
      </c>
    </row>
    <row r="245" spans="2:27" ht="12.2" customHeight="1">
      <c r="B245" s="737"/>
    </row>
    <row r="246" spans="2:27" ht="12.2" customHeight="1">
      <c r="B246" s="737"/>
      <c r="C246" s="722"/>
      <c r="E246" s="721" t="s">
        <v>518</v>
      </c>
    </row>
    <row r="247" spans="2:27" ht="12.2" customHeight="1">
      <c r="B247" s="737"/>
      <c r="E247" s="721" t="s">
        <v>475</v>
      </c>
    </row>
    <row r="248" spans="2:27" ht="12.2" customHeight="1">
      <c r="B248" s="737"/>
      <c r="E248" s="721" t="s">
        <v>473</v>
      </c>
    </row>
    <row r="249" spans="2:27" ht="12.2" customHeight="1">
      <c r="E249" s="721" t="s">
        <v>474</v>
      </c>
    </row>
    <row r="250" spans="2:27" ht="12.2" customHeight="1">
      <c r="E250" s="721"/>
    </row>
    <row r="251" spans="2:27" ht="12.2" customHeight="1">
      <c r="E251" s="1214" t="s">
        <v>1198</v>
      </c>
    </row>
    <row r="252" spans="2:27" ht="12.2" customHeight="1">
      <c r="E252" s="842" t="s">
        <v>979</v>
      </c>
      <c r="F252" s="842"/>
      <c r="G252" s="842"/>
      <c r="T252" s="841" t="s">
        <v>697</v>
      </c>
    </row>
    <row r="253" spans="2:27" ht="12.2" customHeight="1">
      <c r="E253" s="842" t="s">
        <v>898</v>
      </c>
      <c r="F253" s="842"/>
      <c r="G253" s="842"/>
    </row>
    <row r="254" spans="2:27" ht="12.2" customHeight="1">
      <c r="E254" s="842" t="s">
        <v>1225</v>
      </c>
      <c r="F254" s="842"/>
      <c r="G254" s="842"/>
    </row>
    <row r="255" spans="2:27" ht="12.2" customHeight="1">
      <c r="E255" s="842" t="s">
        <v>1200</v>
      </c>
      <c r="F255" s="842"/>
      <c r="G255" s="842"/>
    </row>
    <row r="256" spans="2:27" ht="12.2" customHeight="1">
      <c r="E256" s="842" t="s">
        <v>1199</v>
      </c>
      <c r="F256" s="842"/>
      <c r="G256" s="842"/>
    </row>
    <row r="257" spans="2:7" ht="12.2" customHeight="1">
      <c r="E257" s="842" t="s">
        <v>1201</v>
      </c>
      <c r="F257" s="842"/>
      <c r="G257" s="842"/>
    </row>
    <row r="258" spans="2:7" ht="12.2" customHeight="1">
      <c r="E258" s="842" t="s">
        <v>1202</v>
      </c>
      <c r="F258" s="842"/>
      <c r="G258" s="842"/>
    </row>
    <row r="259" spans="2:7" ht="12.2" customHeight="1">
      <c r="E259" s="842" t="s">
        <v>1203</v>
      </c>
      <c r="F259" s="842"/>
      <c r="G259" s="842"/>
    </row>
    <row r="260" spans="2:7" ht="12.2" customHeight="1">
      <c r="E260" s="842"/>
    </row>
    <row r="261" spans="2:7" ht="12.2" customHeight="1">
      <c r="E261" s="842" t="s">
        <v>1205</v>
      </c>
    </row>
    <row r="262" spans="2:7" ht="12.2" customHeight="1">
      <c r="E262" s="842"/>
    </row>
    <row r="263" spans="2:7" ht="12.2" customHeight="1">
      <c r="E263" s="842" t="s">
        <v>1204</v>
      </c>
    </row>
    <row r="264" spans="2:7" ht="12.2" customHeight="1">
      <c r="E264" s="842" t="s">
        <v>1206</v>
      </c>
    </row>
    <row r="265" spans="2:7" ht="12.2" customHeight="1">
      <c r="E265" s="842"/>
      <c r="F265" s="719" t="s">
        <v>1219</v>
      </c>
    </row>
    <row r="266" spans="2:7" ht="12.2" customHeight="1">
      <c r="E266" s="842"/>
    </row>
    <row r="267" spans="2:7" ht="18" customHeight="1">
      <c r="C267" s="723" t="s">
        <v>402</v>
      </c>
      <c r="D267" s="724" t="s">
        <v>519</v>
      </c>
    </row>
    <row r="268" spans="2:7" ht="6.4" customHeight="1"/>
    <row r="269" spans="2:7" ht="12.2" customHeight="1">
      <c r="B269" s="737"/>
      <c r="C269" s="722"/>
      <c r="E269" s="721" t="s">
        <v>476</v>
      </c>
    </row>
    <row r="270" spans="2:7" ht="12.2" customHeight="1">
      <c r="B270" s="737"/>
      <c r="E270" s="721" t="s">
        <v>520</v>
      </c>
    </row>
    <row r="271" spans="2:7" ht="12.2" customHeight="1">
      <c r="B271" s="737"/>
      <c r="E271" s="721" t="s">
        <v>477</v>
      </c>
    </row>
    <row r="272" spans="2:7" ht="6.4" customHeight="1">
      <c r="E272" s="702" t="s">
        <v>391</v>
      </c>
    </row>
    <row r="273" spans="1:8" ht="12.2" customHeight="1">
      <c r="B273" s="737"/>
      <c r="C273" s="722"/>
      <c r="E273" s="721" t="s">
        <v>478</v>
      </c>
    </row>
    <row r="274" spans="1:8" ht="12.2" customHeight="1">
      <c r="E274" s="721" t="s">
        <v>698</v>
      </c>
    </row>
    <row r="275" spans="1:8" ht="12.2" customHeight="1">
      <c r="E275" s="721" t="s">
        <v>479</v>
      </c>
    </row>
    <row r="276" spans="1:8" ht="12.2" customHeight="1">
      <c r="E276" s="721" t="s">
        <v>482</v>
      </c>
    </row>
    <row r="277" spans="1:8" ht="12.2" customHeight="1">
      <c r="E277" s="721" t="s">
        <v>480</v>
      </c>
    </row>
    <row r="278" spans="1:8" ht="12.2" customHeight="1">
      <c r="F278" s="719" t="s">
        <v>481</v>
      </c>
    </row>
    <row r="279" spans="1:8" ht="12.2" customHeight="1">
      <c r="A279" s="725"/>
    </row>
    <row r="280" spans="1:8" ht="5.0999999999999996" customHeight="1">
      <c r="A280" s="725"/>
    </row>
    <row r="281" spans="1:8" ht="14.1" customHeight="1">
      <c r="A281" s="725"/>
      <c r="D281" s="726" t="s">
        <v>403</v>
      </c>
    </row>
    <row r="282" spans="1:8" ht="14.1" customHeight="1">
      <c r="A282" s="725"/>
      <c r="D282" s="727" t="s">
        <v>404</v>
      </c>
    </row>
    <row r="283" spans="1:8" ht="14.1" customHeight="1">
      <c r="A283" s="725"/>
      <c r="D283" s="727" t="s">
        <v>405</v>
      </c>
      <c r="H283" s="727"/>
    </row>
    <row r="284" spans="1:8" ht="14.1" customHeight="1">
      <c r="A284" s="725"/>
      <c r="D284" s="727" t="s">
        <v>406</v>
      </c>
    </row>
    <row r="285" spans="1:8" ht="11.1" customHeight="1">
      <c r="A285" s="725"/>
      <c r="D285" s="726" t="s">
        <v>407</v>
      </c>
    </row>
    <row r="286" spans="1:8" ht="6.4" customHeight="1"/>
    <row r="287" spans="1:8" ht="14.1" customHeight="1">
      <c r="A287" s="725"/>
      <c r="D287" s="727" t="s">
        <v>408</v>
      </c>
    </row>
    <row r="288" spans="1:8" ht="6.4" customHeight="1"/>
    <row r="289" spans="1:27" ht="14.1" customHeight="1">
      <c r="A289" s="725"/>
      <c r="D289" s="727" t="s">
        <v>1226</v>
      </c>
    </row>
    <row r="290" spans="1:27" ht="14.1" customHeight="1">
      <c r="A290" s="725"/>
      <c r="D290" s="727" t="s">
        <v>409</v>
      </c>
    </row>
    <row r="291" spans="1:27" ht="14.1" customHeight="1">
      <c r="A291" s="725"/>
      <c r="D291" s="727" t="s">
        <v>410</v>
      </c>
    </row>
    <row r="292" spans="1:27" ht="14.1" customHeight="1">
      <c r="A292" s="725"/>
      <c r="D292" s="727" t="s">
        <v>411</v>
      </c>
    </row>
    <row r="293" spans="1:27" ht="14.1" customHeight="1">
      <c r="A293" s="725"/>
      <c r="D293" s="727" t="s">
        <v>412</v>
      </c>
    </row>
    <row r="294" spans="1:27" ht="14.1" customHeight="1">
      <c r="A294" s="725"/>
      <c r="D294" s="727" t="s">
        <v>413</v>
      </c>
    </row>
    <row r="295" spans="1:27" ht="6.4" customHeight="1"/>
    <row r="296" spans="1:27" ht="14.1" customHeight="1">
      <c r="A296" s="725"/>
      <c r="D296" s="727" t="s">
        <v>488</v>
      </c>
    </row>
    <row r="297" spans="1:27" ht="14.1" customHeight="1">
      <c r="A297" s="725"/>
      <c r="D297" s="726" t="s">
        <v>414</v>
      </c>
    </row>
    <row r="298" spans="1:27" ht="14.1" customHeight="1">
      <c r="A298" s="725"/>
      <c r="D298" s="728" t="s">
        <v>415</v>
      </c>
      <c r="AA298" s="710"/>
    </row>
  </sheetData>
  <sheetProtection algorithmName="SHA-512" hashValue="oQDSwVtnGTNyFAS3PwNRLuiyPvU1rEU98PporfydjvYXgxoTOHGtOv+IOEG7bjRH/HOlcxqLH3sfu3wOsL+kaQ==" saltValue="E/9Chf6InnKtWF8kTcGNzw==" spinCount="100000" sheet="1" objects="1" scenarios="1"/>
  <mergeCells count="7">
    <mergeCell ref="M3:S6"/>
    <mergeCell ref="D19:J19"/>
    <mergeCell ref="J188:L188"/>
    <mergeCell ref="J197:L197"/>
    <mergeCell ref="C52:C62"/>
    <mergeCell ref="C38:C50"/>
    <mergeCell ref="C22:C36"/>
  </mergeCells>
  <hyperlinks>
    <hyperlink ref="D19" r:id="rId1"/>
    <hyperlink ref="M3:S6" location="Kalkulation_Eigenstrom!A1" display="Kalkulation_Eigenstrom!A1"/>
  </hyperlinks>
  <printOptions horizontalCentered="1"/>
  <pageMargins left="0.59055118110236227" right="0.19685039370078741" top="0.78740157480314965" bottom="0.98425196850393704" header="0.31496062992125984" footer="0.11811023622047245"/>
  <pageSetup paperSize="9" scale="81" orientation="portrait" verticalDpi="360" r:id="rId2"/>
  <headerFooter alignWithMargins="0">
    <oddHeader>&amp;RSeite &amp;P</oddHeader>
    <oddFooter>&amp;L&amp;8(c) WS&amp;C&amp;8&amp;F&amp;R&amp;8Stand: Juli 2012</oddFooter>
  </headerFooter>
  <rowBreaks count="2" manualBreakCount="2">
    <brk id="88" min="2" max="27" man="1"/>
    <brk id="218" min="2" max="27"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1"/>
  <sheetViews>
    <sheetView workbookViewId="0"/>
  </sheetViews>
  <sheetFormatPr baseColWidth="10" defaultRowHeight="12.75"/>
  <cols>
    <col min="1" max="1" width="2.7109375" customWidth="1"/>
    <col min="2" max="3" width="15.7109375" customWidth="1"/>
    <col min="4" max="7" width="12.7109375" customWidth="1"/>
    <col min="8" max="15" width="10.7109375" customWidth="1"/>
  </cols>
  <sheetData>
    <row r="1" spans="2:11" ht="6" customHeight="1"/>
    <row r="2" spans="2:11" ht="18">
      <c r="B2" s="246" t="s">
        <v>276</v>
      </c>
      <c r="C2" s="246"/>
    </row>
    <row r="3" spans="2:11" ht="6" customHeight="1"/>
    <row r="4" spans="2:11">
      <c r="B4" s="303" t="s">
        <v>255</v>
      </c>
      <c r="C4" s="304"/>
      <c r="D4" s="1837">
        <f>ZRB!G23</f>
        <v>0</v>
      </c>
      <c r="E4" s="1838"/>
      <c r="F4" s="281"/>
      <c r="G4" s="281"/>
      <c r="H4" s="281"/>
      <c r="I4" s="281"/>
      <c r="J4" s="281"/>
    </row>
    <row r="5" spans="2:11">
      <c r="B5" s="305" t="s">
        <v>0</v>
      </c>
      <c r="C5" s="306"/>
      <c r="D5" s="1839" t="str">
        <f>ZRB!G11</f>
        <v>Stuttgart</v>
      </c>
      <c r="E5" s="1840"/>
      <c r="F5" s="282"/>
      <c r="G5" s="282"/>
      <c r="H5" s="282"/>
      <c r="I5" s="282"/>
      <c r="J5" s="282"/>
    </row>
    <row r="6" spans="2:11">
      <c r="B6" s="305" t="s">
        <v>106</v>
      </c>
      <c r="C6" s="330"/>
      <c r="D6" s="1841">
        <f>ZRB!G6</f>
        <v>0</v>
      </c>
      <c r="E6" s="1842"/>
      <c r="F6" s="283"/>
      <c r="G6" s="283"/>
      <c r="H6" s="283"/>
      <c r="I6" s="283"/>
      <c r="J6" s="283"/>
    </row>
    <row r="7" spans="2:11">
      <c r="B7" s="305" t="s">
        <v>283</v>
      </c>
      <c r="C7" s="330"/>
      <c r="D7" s="1843">
        <f>ZRB!G21</f>
        <v>20</v>
      </c>
      <c r="E7" s="1844"/>
      <c r="F7" s="283"/>
      <c r="G7" s="283"/>
      <c r="H7" s="283"/>
      <c r="I7" s="283"/>
      <c r="J7" s="283"/>
    </row>
    <row r="8" spans="2:11">
      <c r="B8" s="305" t="s">
        <v>59</v>
      </c>
      <c r="C8" s="330"/>
      <c r="D8" s="1841" t="str">
        <f>ZRB!G12</f>
        <v>Mai  2022</v>
      </c>
      <c r="E8" s="1842"/>
      <c r="F8" s="283"/>
      <c r="G8" s="283"/>
      <c r="H8" s="283"/>
      <c r="I8" s="283"/>
      <c r="J8" s="283"/>
    </row>
    <row r="9" spans="2:11">
      <c r="B9" s="305" t="s">
        <v>277</v>
      </c>
      <c r="C9" s="330"/>
      <c r="D9" s="1835">
        <f>ZRB!G28</f>
        <v>0</v>
      </c>
      <c r="E9" s="1836"/>
      <c r="F9" s="283"/>
      <c r="G9" s="283"/>
      <c r="H9" s="283"/>
      <c r="I9" s="283"/>
      <c r="J9" s="283"/>
    </row>
    <row r="10" spans="2:11">
      <c r="B10" s="305" t="s">
        <v>318</v>
      </c>
      <c r="C10" s="330"/>
      <c r="D10" s="1835">
        <f>ZRB!F30/100</f>
        <v>0.3</v>
      </c>
      <c r="E10" s="1836"/>
      <c r="F10" s="283"/>
      <c r="G10" s="283"/>
      <c r="H10" s="283"/>
      <c r="I10" s="283"/>
      <c r="J10" s="283"/>
    </row>
    <row r="11" spans="2:11">
      <c r="B11" s="363" t="s">
        <v>1141</v>
      </c>
      <c r="C11" s="364"/>
      <c r="D11" s="1119" t="str">
        <f>IF(E11=1,"Nein","Ja")</f>
        <v>Nein</v>
      </c>
      <c r="E11" s="1120">
        <f>ZRB!G5</f>
        <v>1</v>
      </c>
      <c r="F11" s="283"/>
      <c r="G11" s="283"/>
      <c r="H11" s="283"/>
      <c r="I11" s="283"/>
      <c r="J11" s="283"/>
    </row>
    <row r="12" spans="2:11">
      <c r="B12" s="303" t="s">
        <v>1142</v>
      </c>
      <c r="C12" s="1121"/>
      <c r="D12" s="1122" t="str">
        <f>IF(E12=1,"Nein","Ja")</f>
        <v>Ja</v>
      </c>
      <c r="E12" s="1123">
        <f>IF(Kalkulation_Eigenstrom!$E$23&lt;68,0,IF($C$14=2,0,IF($D$6&lt;=$E$13,0,1)))</f>
        <v>0</v>
      </c>
      <c r="F12" s="283"/>
      <c r="G12" s="283"/>
      <c r="H12" s="283"/>
      <c r="I12" s="283"/>
      <c r="J12" s="283"/>
    </row>
    <row r="13" spans="2:11">
      <c r="B13" s="305" t="s">
        <v>1144</v>
      </c>
      <c r="C13" s="330"/>
      <c r="D13" s="1085"/>
      <c r="E13" s="1124">
        <f>VLOOKUP(ZRB!$F$12,Vergütungen_Stammdaten!$B$6:$AK$188,33,FALSE)</f>
        <v>300</v>
      </c>
      <c r="F13" s="283"/>
      <c r="G13" s="283"/>
      <c r="H13" s="283"/>
      <c r="I13" s="283"/>
      <c r="J13" s="283"/>
    </row>
    <row r="14" spans="2:11">
      <c r="B14" s="307" t="s">
        <v>1143</v>
      </c>
      <c r="C14" s="1125">
        <f>ZRB!F10</f>
        <v>1</v>
      </c>
      <c r="D14" s="1125"/>
      <c r="E14" s="377" t="str">
        <f>ZRB!G10</f>
        <v>Dachanlage</v>
      </c>
      <c r="F14" s="283"/>
      <c r="G14" s="283"/>
      <c r="H14" s="283"/>
      <c r="I14" s="283"/>
      <c r="J14" s="283"/>
    </row>
    <row r="16" spans="2:11">
      <c r="B16" s="1" t="s">
        <v>363</v>
      </c>
      <c r="K16" s="337" t="s">
        <v>99</v>
      </c>
    </row>
    <row r="17" spans="2:13">
      <c r="B17" s="614">
        <v>0</v>
      </c>
      <c r="C17" s="615">
        <f>ZRB!O9*ZRB!Q9+ZRB!O10*ZRB!Q10+ZRB!O11*ZRB!Q11+ZRB!O12*ZRB!Q12</f>
        <v>0</v>
      </c>
      <c r="D17" s="615"/>
      <c r="E17" s="616"/>
      <c r="F17" s="616"/>
      <c r="G17" s="617">
        <f>ZRB!O13</f>
        <v>0</v>
      </c>
      <c r="H17" s="618"/>
      <c r="I17" s="619"/>
      <c r="J17" s="619"/>
      <c r="K17" s="620" t="e">
        <f>C17/G17</f>
        <v>#DIV/0!</v>
      </c>
      <c r="M17" s="1" t="s">
        <v>550</v>
      </c>
    </row>
    <row r="18" spans="2:13">
      <c r="B18" s="610"/>
      <c r="C18" s="611"/>
      <c r="D18" s="611"/>
      <c r="E18" s="611"/>
      <c r="F18" s="611"/>
      <c r="G18" s="612"/>
      <c r="H18" s="613"/>
      <c r="K18" s="337"/>
      <c r="M18" s="1" t="s">
        <v>551</v>
      </c>
    </row>
    <row r="19" spans="2:13">
      <c r="H19" s="336" t="s">
        <v>272</v>
      </c>
      <c r="M19">
        <f>ROUND(ZRB!G113,4)</f>
        <v>0</v>
      </c>
    </row>
    <row r="20" spans="2:13">
      <c r="C20" s="337" t="s">
        <v>272</v>
      </c>
      <c r="D20" s="338" t="s">
        <v>278</v>
      </c>
      <c r="E20" s="338" t="s">
        <v>279</v>
      </c>
      <c r="F20" s="337" t="s">
        <v>280</v>
      </c>
      <c r="G20" s="337" t="s">
        <v>281</v>
      </c>
      <c r="H20" s="337" t="s">
        <v>282</v>
      </c>
      <c r="K20" s="337" t="s">
        <v>272</v>
      </c>
    </row>
    <row r="21" spans="2:13">
      <c r="B21" s="339">
        <f>ZRB!K17</f>
        <v>0.01</v>
      </c>
      <c r="C21" s="342">
        <f t="shared" ref="C21:C30" si="0">$C$32</f>
        <v>0</v>
      </c>
      <c r="D21" s="342">
        <f>ZRB!U24</f>
        <v>0</v>
      </c>
      <c r="E21" s="342">
        <f>ZRB!AI23</f>
        <v>0</v>
      </c>
      <c r="F21" s="342">
        <f>C21-D21-E21</f>
        <v>0</v>
      </c>
      <c r="G21" s="340">
        <f>ZRB!Y23</f>
        <v>0</v>
      </c>
      <c r="H21" s="341">
        <f>IF(G21=0,0,F21/G21)</f>
        <v>0</v>
      </c>
      <c r="J21" s="339">
        <v>0.01</v>
      </c>
      <c r="K21" s="341">
        <f t="shared" ref="K21:K32" si="1">IF(B21&lt;$D$9,#N/A,H21+$M$19)</f>
        <v>0</v>
      </c>
    </row>
    <row r="22" spans="2:13">
      <c r="B22" s="339">
        <f>ZRB!K28</f>
        <v>0.05</v>
      </c>
      <c r="C22" s="342">
        <f>$C$32</f>
        <v>0</v>
      </c>
      <c r="D22" s="342">
        <f>ZRB!U35</f>
        <v>0</v>
      </c>
      <c r="E22" s="342">
        <f>ZRB!AI34</f>
        <v>0</v>
      </c>
      <c r="F22" s="342">
        <f>C22-D22-E22</f>
        <v>0</v>
      </c>
      <c r="G22" s="340">
        <f>ZRB!Y34</f>
        <v>0</v>
      </c>
      <c r="H22" s="341">
        <f>IF(G22=0,0,F22/G22)</f>
        <v>0</v>
      </c>
      <c r="J22" s="339">
        <v>0.05</v>
      </c>
      <c r="K22" s="341">
        <f t="shared" si="1"/>
        <v>0</v>
      </c>
    </row>
    <row r="23" spans="2:13">
      <c r="B23" s="339">
        <f>ZRB!K39</f>
        <v>0.1</v>
      </c>
      <c r="C23" s="342">
        <f t="shared" si="0"/>
        <v>0</v>
      </c>
      <c r="D23" s="342">
        <f>ZRB!U46</f>
        <v>0</v>
      </c>
      <c r="E23" s="342">
        <f>ZRB!AI45</f>
        <v>0</v>
      </c>
      <c r="F23" s="342">
        <f t="shared" ref="F23:F32" si="2">C23-D23-E23</f>
        <v>0</v>
      </c>
      <c r="G23" s="340">
        <f>ZRB!Y45</f>
        <v>0</v>
      </c>
      <c r="H23" s="341">
        <f t="shared" ref="H23:H32" si="3">IF(G23=0,0,F23/G23)</f>
        <v>0</v>
      </c>
      <c r="J23" s="339">
        <v>0.1</v>
      </c>
      <c r="K23" s="341">
        <f t="shared" si="1"/>
        <v>0</v>
      </c>
      <c r="M23" s="1"/>
    </row>
    <row r="24" spans="2:13">
      <c r="B24" s="339">
        <f>ZRB!K50</f>
        <v>0.2</v>
      </c>
      <c r="C24" s="342">
        <f t="shared" si="0"/>
        <v>0</v>
      </c>
      <c r="D24" s="342">
        <f>ZRB!U57</f>
        <v>0</v>
      </c>
      <c r="E24" s="342">
        <f>ZRB!AI56</f>
        <v>0</v>
      </c>
      <c r="F24" s="342">
        <f t="shared" si="2"/>
        <v>0</v>
      </c>
      <c r="G24" s="340">
        <f>ZRB!Y56</f>
        <v>0</v>
      </c>
      <c r="H24" s="341">
        <f t="shared" si="3"/>
        <v>0</v>
      </c>
      <c r="J24" s="339">
        <v>0.2</v>
      </c>
      <c r="K24" s="341">
        <f t="shared" si="1"/>
        <v>0</v>
      </c>
    </row>
    <row r="25" spans="2:13">
      <c r="B25" s="339">
        <f>ZRB!K61</f>
        <v>0.3</v>
      </c>
      <c r="C25" s="342">
        <f t="shared" si="0"/>
        <v>0</v>
      </c>
      <c r="D25" s="342">
        <f>ZRB!U68</f>
        <v>0</v>
      </c>
      <c r="E25" s="342">
        <f>ZRB!AI67</f>
        <v>0</v>
      </c>
      <c r="F25" s="342">
        <f t="shared" si="2"/>
        <v>0</v>
      </c>
      <c r="G25" s="340">
        <f>ZRB!Y67</f>
        <v>0</v>
      </c>
      <c r="H25" s="341">
        <f t="shared" si="3"/>
        <v>0</v>
      </c>
      <c r="J25" s="339">
        <v>0.3</v>
      </c>
      <c r="K25" s="341">
        <f t="shared" si="1"/>
        <v>0</v>
      </c>
    </row>
    <row r="26" spans="2:13">
      <c r="B26" s="339">
        <f>ZRB!K72</f>
        <v>0.4</v>
      </c>
      <c r="C26" s="342">
        <f t="shared" si="0"/>
        <v>0</v>
      </c>
      <c r="D26" s="342">
        <f>ZRB!U79</f>
        <v>0</v>
      </c>
      <c r="E26" s="342">
        <f>ZRB!AI78</f>
        <v>0</v>
      </c>
      <c r="F26" s="342">
        <f t="shared" si="2"/>
        <v>0</v>
      </c>
      <c r="G26" s="340">
        <f>ZRB!Y78</f>
        <v>0</v>
      </c>
      <c r="H26" s="341">
        <f t="shared" si="3"/>
        <v>0</v>
      </c>
      <c r="J26" s="339">
        <v>0.4</v>
      </c>
      <c r="K26" s="341">
        <f t="shared" si="1"/>
        <v>0</v>
      </c>
    </row>
    <row r="27" spans="2:13">
      <c r="B27" s="339">
        <f>ZRB!K83</f>
        <v>0.5</v>
      </c>
      <c r="C27" s="342">
        <f t="shared" si="0"/>
        <v>0</v>
      </c>
      <c r="D27" s="342">
        <f>ZRB!U90</f>
        <v>0</v>
      </c>
      <c r="E27" s="342">
        <f>ZRB!AI89</f>
        <v>0</v>
      </c>
      <c r="F27" s="342">
        <f t="shared" si="2"/>
        <v>0</v>
      </c>
      <c r="G27" s="340">
        <f>ZRB!Y89</f>
        <v>0</v>
      </c>
      <c r="H27" s="341">
        <f t="shared" si="3"/>
        <v>0</v>
      </c>
      <c r="J27" s="339">
        <v>0.5</v>
      </c>
      <c r="K27" s="341">
        <f t="shared" si="1"/>
        <v>0</v>
      </c>
    </row>
    <row r="28" spans="2:13">
      <c r="B28" s="339">
        <f>ZRB!K94</f>
        <v>0.6</v>
      </c>
      <c r="C28" s="342">
        <f t="shared" si="0"/>
        <v>0</v>
      </c>
      <c r="D28" s="342">
        <f>ZRB!U101</f>
        <v>0</v>
      </c>
      <c r="E28" s="342">
        <f>ZRB!AI100</f>
        <v>0</v>
      </c>
      <c r="F28" s="342">
        <f t="shared" si="2"/>
        <v>0</v>
      </c>
      <c r="G28" s="340">
        <f>ZRB!Y100</f>
        <v>0</v>
      </c>
      <c r="H28" s="341">
        <f t="shared" si="3"/>
        <v>0</v>
      </c>
      <c r="J28" s="339">
        <v>0.6</v>
      </c>
      <c r="K28" s="341">
        <f t="shared" si="1"/>
        <v>0</v>
      </c>
    </row>
    <row r="29" spans="2:13">
      <c r="B29" s="339">
        <f>ZRB!K105</f>
        <v>0.7</v>
      </c>
      <c r="C29" s="342">
        <f t="shared" si="0"/>
        <v>0</v>
      </c>
      <c r="D29" s="342">
        <f>ZRB!U112</f>
        <v>0</v>
      </c>
      <c r="E29" s="342">
        <f>ZRB!AI111</f>
        <v>0</v>
      </c>
      <c r="F29" s="342">
        <f t="shared" si="2"/>
        <v>0</v>
      </c>
      <c r="G29" s="340">
        <f>ZRB!Y111</f>
        <v>0</v>
      </c>
      <c r="H29" s="341">
        <f t="shared" si="3"/>
        <v>0</v>
      </c>
      <c r="J29" s="339">
        <v>0.7</v>
      </c>
      <c r="K29" s="341">
        <f t="shared" si="1"/>
        <v>0</v>
      </c>
    </row>
    <row r="30" spans="2:13">
      <c r="B30" s="339">
        <f>ZRB!K116</f>
        <v>0.8</v>
      </c>
      <c r="C30" s="342">
        <f t="shared" si="0"/>
        <v>0</v>
      </c>
      <c r="D30" s="342">
        <f>ZRB!U123</f>
        <v>0</v>
      </c>
      <c r="E30" s="342">
        <f>ZRB!AI122</f>
        <v>0</v>
      </c>
      <c r="F30" s="342">
        <f t="shared" si="2"/>
        <v>0</v>
      </c>
      <c r="G30" s="340">
        <f>ZRB!Y122</f>
        <v>0</v>
      </c>
      <c r="H30" s="341">
        <f t="shared" si="3"/>
        <v>0</v>
      </c>
      <c r="J30" s="339">
        <v>0.8</v>
      </c>
      <c r="K30" s="341">
        <f t="shared" si="1"/>
        <v>0</v>
      </c>
    </row>
    <row r="31" spans="2:13">
      <c r="B31" s="339">
        <f>ZRB!K127</f>
        <v>0.9</v>
      </c>
      <c r="C31" s="342">
        <f>$C$32</f>
        <v>0</v>
      </c>
      <c r="D31" s="342">
        <f>ZRB!U134</f>
        <v>0</v>
      </c>
      <c r="E31" s="342">
        <f>ZRB!AI133</f>
        <v>0</v>
      </c>
      <c r="F31" s="342">
        <f t="shared" si="2"/>
        <v>0</v>
      </c>
      <c r="G31" s="340">
        <f>ZRB!Y133</f>
        <v>0</v>
      </c>
      <c r="H31" s="341">
        <f t="shared" si="3"/>
        <v>0</v>
      </c>
      <c r="J31" s="339">
        <v>0.9</v>
      </c>
      <c r="K31" s="341">
        <f t="shared" si="1"/>
        <v>0</v>
      </c>
    </row>
    <row r="32" spans="2:13">
      <c r="B32" s="339">
        <f>ZRB!K138</f>
        <v>1</v>
      </c>
      <c r="C32" s="342">
        <f>ZRB!G80</f>
        <v>0</v>
      </c>
      <c r="D32" s="342">
        <f>ZRB!U145</f>
        <v>0</v>
      </c>
      <c r="E32" s="342">
        <f>ZRB!AI144</f>
        <v>0</v>
      </c>
      <c r="F32" s="342">
        <f t="shared" si="2"/>
        <v>0</v>
      </c>
      <c r="G32" s="340">
        <f>ZRB!Y144</f>
        <v>0</v>
      </c>
      <c r="H32" s="341">
        <f t="shared" si="3"/>
        <v>0</v>
      </c>
      <c r="J32" s="339">
        <v>1</v>
      </c>
      <c r="K32" s="341">
        <f t="shared" si="1"/>
        <v>0</v>
      </c>
    </row>
    <row r="33" spans="2:17">
      <c r="B33" s="335"/>
      <c r="H33" s="1" t="s">
        <v>274</v>
      </c>
      <c r="I33" s="339">
        <f>ZRB!F30/100</f>
        <v>0.3</v>
      </c>
      <c r="J33" s="339">
        <f>I33</f>
        <v>0.3</v>
      </c>
      <c r="K33" s="341">
        <f>ZRB!G88+$M$19</f>
        <v>0</v>
      </c>
    </row>
    <row r="35" spans="2:17">
      <c r="B35" s="634" t="s">
        <v>366</v>
      </c>
    </row>
    <row r="36" spans="2:17" ht="13.7" customHeight="1">
      <c r="B36" s="343"/>
      <c r="C36" s="354">
        <v>1</v>
      </c>
      <c r="D36" s="354">
        <v>5</v>
      </c>
      <c r="E36" s="354">
        <v>10</v>
      </c>
      <c r="F36" s="354">
        <v>20</v>
      </c>
      <c r="G36" s="354">
        <v>30</v>
      </c>
      <c r="H36" s="354">
        <v>40</v>
      </c>
      <c r="I36" s="354">
        <v>50</v>
      </c>
      <c r="J36" s="354">
        <v>60</v>
      </c>
      <c r="K36" s="354">
        <v>70</v>
      </c>
      <c r="L36" s="354">
        <v>80</v>
      </c>
      <c r="M36" s="354">
        <v>90</v>
      </c>
      <c r="N36" s="354">
        <v>100</v>
      </c>
      <c r="O36" s="344">
        <f>P36-0.01</f>
        <v>29.99</v>
      </c>
      <c r="P36" s="345">
        <f>J33*100</f>
        <v>30</v>
      </c>
      <c r="Q36" s="346">
        <v>0</v>
      </c>
    </row>
    <row r="37" spans="2:17">
      <c r="B37" s="347"/>
      <c r="C37" s="348"/>
      <c r="D37" s="348"/>
      <c r="E37" s="348"/>
      <c r="F37" s="348"/>
      <c r="G37" s="348"/>
      <c r="H37" s="348"/>
      <c r="I37" s="348"/>
      <c r="J37" s="348"/>
      <c r="K37" s="349"/>
      <c r="L37" s="349"/>
      <c r="M37" s="349"/>
      <c r="N37" s="349"/>
      <c r="O37" s="356">
        <f>IF($E$12=1,#N/A,0)</f>
        <v>0</v>
      </c>
      <c r="P37" s="357">
        <f>IF($E$12=1,#N/A,IF($E$11=1,0,K33))</f>
        <v>0</v>
      </c>
      <c r="Q37" s="358">
        <f>P37</f>
        <v>0</v>
      </c>
    </row>
    <row r="38" spans="2:17">
      <c r="B38" s="350"/>
      <c r="C38" s="355">
        <f>IF($E$12=1,#N/A,IF($E$11=1,0,K21))</f>
        <v>0</v>
      </c>
      <c r="D38" s="355">
        <f>IF($E$12=1,#N/A,IF($E$11=1,0,K22))</f>
        <v>0</v>
      </c>
      <c r="E38" s="355">
        <f>IF($E$12=1,#N/A,IF($E$11=1,0,K23))</f>
        <v>0</v>
      </c>
      <c r="F38" s="355">
        <f>IF($E$12=1,#N/A,IF($E$11=1,0,K24))</f>
        <v>0</v>
      </c>
      <c r="G38" s="355">
        <f>IF($E$12=1,#N/A,IF($E$11=1,0,K25))</f>
        <v>0</v>
      </c>
      <c r="H38" s="355">
        <f>IF($E$12=1,#N/A,IF($E$11=1,0,K26))</f>
        <v>0</v>
      </c>
      <c r="I38" s="355">
        <f>IF($E$12=1,#N/A,IF($E$11=1,0,K27))</f>
        <v>0</v>
      </c>
      <c r="J38" s="355">
        <f>IF($E$12=1,#N/A,IF($E$11=1,0,K28))</f>
        <v>0</v>
      </c>
      <c r="K38" s="355">
        <f>IF($E$12=1,#N/A,IF($E$11=1,0,K29))</f>
        <v>0</v>
      </c>
      <c r="L38" s="355">
        <f>IF($E$12=1,#N/A,IF($E$11=1,0,K30))</f>
        <v>0</v>
      </c>
      <c r="M38" s="355">
        <f>IF($E$12=1,#N/A,IF($E$11=1,0,K31))</f>
        <v>0</v>
      </c>
      <c r="N38" s="355">
        <f>IF(E11=1,0,K32)</f>
        <v>0</v>
      </c>
      <c r="O38" s="351"/>
      <c r="P38" s="352"/>
      <c r="Q38" s="353"/>
    </row>
    <row r="40" spans="2:17">
      <c r="B40" s="363" t="s">
        <v>284</v>
      </c>
      <c r="C40" s="364"/>
      <c r="D40" s="341">
        <v>-0.3</v>
      </c>
    </row>
    <row r="41" spans="2:17">
      <c r="B41" s="363" t="s">
        <v>285</v>
      </c>
      <c r="C41" s="364"/>
      <c r="D41" s="341">
        <v>0.5</v>
      </c>
    </row>
  </sheetData>
  <sheetProtection algorithmName="SHA-512" hashValue="wI8ag81bjZSGcyspaDKhOiJszd76SXxysPNL8lQt1kQrI5CkPuz7yceWqVH4oiiSF8yE0HJZ7mkjchVrJ6iABQ==" saltValue="i2Vdcz3yPj/vkr3HMachZQ==" spinCount="100000" sheet="1" objects="1" scenarios="1"/>
  <mergeCells count="7">
    <mergeCell ref="D10:E10"/>
    <mergeCell ref="D4:E4"/>
    <mergeCell ref="D5:E5"/>
    <mergeCell ref="D6:E6"/>
    <mergeCell ref="D9:E9"/>
    <mergeCell ref="D8:E8"/>
    <mergeCell ref="D7:E7"/>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O161"/>
  <sheetViews>
    <sheetView zoomScaleNormal="100" workbookViewId="0">
      <pane xSplit="20" topLeftCell="U1" activePane="topRight" state="frozen"/>
      <selection pane="topRight" activeCell="G5" sqref="G5:S8"/>
    </sheetView>
  </sheetViews>
  <sheetFormatPr baseColWidth="10" defaultColWidth="11.42578125" defaultRowHeight="12"/>
  <cols>
    <col min="1" max="1" width="1.7109375" style="9" customWidth="1"/>
    <col min="2" max="3" width="4.28515625" style="9" customWidth="1"/>
    <col min="4" max="4" width="1.7109375" style="9" customWidth="1"/>
    <col min="5" max="5" width="10.7109375" style="439" hidden="1" customWidth="1"/>
    <col min="6" max="7" width="1.7109375" style="9" customWidth="1"/>
    <col min="8" max="18" width="5.7109375" style="9" customWidth="1"/>
    <col min="19" max="19" width="1.7109375" style="9" customWidth="1"/>
    <col min="20" max="20" width="2.7109375" style="9" customWidth="1"/>
    <col min="21" max="21" width="6.7109375" style="9" customWidth="1"/>
    <col min="22" max="23" width="1.7109375" style="9" customWidth="1"/>
    <col min="24" max="36" width="5.7109375" style="9" customWidth="1"/>
    <col min="37" max="37" width="2.7109375" style="9" customWidth="1"/>
    <col min="38" max="38" width="20.7109375" style="9" customWidth="1"/>
    <col min="39" max="39" width="3.5703125" style="9" customWidth="1"/>
    <col min="40" max="40" width="10.7109375" style="9" hidden="1" customWidth="1"/>
    <col min="41" max="41" width="1.7109375" style="9" customWidth="1"/>
    <col min="42" max="52" width="6.7109375" style="9" customWidth="1"/>
    <col min="53" max="53" width="1.7109375" style="9" customWidth="1"/>
    <col min="54" max="54" width="20.7109375" style="9" customWidth="1"/>
    <col min="55" max="55" width="3.5703125" style="9" customWidth="1"/>
    <col min="56" max="56" width="10.7109375" style="9" hidden="1" customWidth="1"/>
    <col min="57" max="57" width="1.7109375" style="9" customWidth="1"/>
    <col min="58" max="65" width="6.7109375" style="9" customWidth="1"/>
    <col min="66" max="66" width="5.28515625" style="9" customWidth="1"/>
    <col min="67" max="67" width="8.28515625" style="9" customWidth="1"/>
    <col min="68" max="69" width="6.7109375" style="9" customWidth="1"/>
    <col min="70" max="70" width="2.7109375" style="9" customWidth="1"/>
    <col min="71" max="71" width="20.7109375" style="9" customWidth="1"/>
    <col min="72" max="72" width="3.5703125" style="9" customWidth="1"/>
    <col min="73" max="73" width="12.5703125" style="439" hidden="1" customWidth="1"/>
    <col min="74" max="87" width="5.7109375" style="9" customWidth="1"/>
    <col min="88" max="88" width="20.7109375" style="9" customWidth="1"/>
    <col min="89" max="89" width="3.5703125" style="9" customWidth="1"/>
    <col min="90" max="90" width="10.7109375" style="9" hidden="1" customWidth="1"/>
    <col min="91" max="91" width="2.7109375" style="9" customWidth="1"/>
    <col min="92" max="92" width="1.7109375" style="9" customWidth="1"/>
    <col min="93" max="105" width="5.7109375" style="9" customWidth="1"/>
    <col min="106" max="106" width="2.7109375" style="9" customWidth="1"/>
    <col min="107" max="107" width="20.7109375" style="9" customWidth="1"/>
    <col min="108" max="119" width="6.7109375" style="9" customWidth="1"/>
    <col min="120" max="16384" width="11.42578125" style="9"/>
  </cols>
  <sheetData>
    <row r="1" spans="1:119" s="6" customFormat="1" ht="2.4500000000000002" customHeight="1">
      <c r="A1" s="475"/>
      <c r="B1" s="475"/>
      <c r="C1" s="475"/>
      <c r="D1" s="475"/>
      <c r="E1" s="533"/>
      <c r="F1" s="524"/>
      <c r="G1" s="527"/>
      <c r="H1" s="527"/>
      <c r="I1" s="527"/>
      <c r="J1" s="527"/>
      <c r="K1" s="527"/>
      <c r="L1" s="527"/>
      <c r="M1" s="527"/>
      <c r="N1" s="494"/>
      <c r="O1" s="494"/>
      <c r="P1" s="495"/>
      <c r="Q1" s="495"/>
      <c r="R1" s="495"/>
      <c r="S1" s="495"/>
      <c r="T1" s="526"/>
      <c r="U1" s="255"/>
      <c r="V1" s="255"/>
      <c r="W1" s="255"/>
      <c r="X1" s="255"/>
      <c r="Y1" s="255"/>
      <c r="Z1" s="255"/>
      <c r="AA1" s="255"/>
      <c r="AB1" s="255"/>
      <c r="AC1" s="255"/>
      <c r="AD1" s="255"/>
      <c r="AE1" s="255"/>
      <c r="AF1" s="255"/>
      <c r="AG1" s="255"/>
      <c r="AH1" s="255"/>
      <c r="AI1" s="255"/>
      <c r="AJ1" s="255"/>
      <c r="AK1" s="255"/>
      <c r="AL1" s="256"/>
      <c r="AM1" s="243"/>
      <c r="AN1" s="243"/>
      <c r="AO1" s="243"/>
      <c r="AP1" s="243"/>
      <c r="AQ1" s="243"/>
      <c r="AR1" s="243"/>
      <c r="AS1" s="243"/>
      <c r="AT1" s="243"/>
      <c r="AU1" s="243"/>
      <c r="AV1" s="243"/>
      <c r="AW1" s="243"/>
      <c r="AX1" s="243"/>
      <c r="AY1" s="243"/>
      <c r="AZ1" s="243"/>
      <c r="BA1" s="243"/>
      <c r="BB1" s="256"/>
      <c r="BC1" s="256"/>
      <c r="BD1" s="256"/>
      <c r="BE1" s="243"/>
      <c r="BF1" s="243"/>
      <c r="BG1" s="243"/>
      <c r="BH1" s="243"/>
      <c r="BI1" s="243"/>
      <c r="BJ1" s="243"/>
      <c r="BK1" s="243"/>
      <c r="BL1" s="243"/>
      <c r="BM1" s="243"/>
      <c r="BN1" s="243"/>
      <c r="BO1" s="243"/>
      <c r="BP1" s="256"/>
      <c r="BQ1" s="243"/>
      <c r="BR1" s="243"/>
      <c r="BS1" s="256"/>
      <c r="BT1" s="256"/>
      <c r="BU1" s="801"/>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43"/>
      <c r="DE1" s="243"/>
      <c r="DF1" s="243"/>
      <c r="DG1" s="243"/>
      <c r="DH1" s="243"/>
      <c r="DI1" s="243"/>
      <c r="DJ1" s="243"/>
      <c r="DK1" s="243"/>
      <c r="DL1" s="243"/>
      <c r="DM1" s="243"/>
      <c r="DN1" s="243"/>
      <c r="DO1" s="243"/>
    </row>
    <row r="2" spans="1:119" s="6" customFormat="1" ht="10.15" customHeight="1">
      <c r="A2" s="475"/>
      <c r="B2" s="1419" t="s">
        <v>333</v>
      </c>
      <c r="C2" s="1419"/>
      <c r="D2" s="475"/>
      <c r="E2" s="755">
        <f ca="1">TODAY()</f>
        <v>44685</v>
      </c>
      <c r="F2" s="524"/>
      <c r="G2" s="480"/>
      <c r="H2" s="481"/>
      <c r="I2" s="534" t="s">
        <v>337</v>
      </c>
      <c r="J2" s="535"/>
      <c r="K2" s="536"/>
      <c r="L2" s="478"/>
      <c r="M2" s="528" t="s">
        <v>362</v>
      </c>
      <c r="N2" s="529"/>
      <c r="O2" s="529"/>
      <c r="P2" s="529"/>
      <c r="Q2" s="529"/>
      <c r="R2" s="529"/>
      <c r="S2" s="529"/>
      <c r="T2" s="530"/>
      <c r="U2" s="255"/>
      <c r="V2" s="255"/>
      <c r="W2" s="255"/>
      <c r="X2" s="255"/>
      <c r="Y2" s="255"/>
      <c r="Z2" s="255"/>
      <c r="AA2" s="255"/>
      <c r="AB2" s="255"/>
      <c r="AC2" s="255"/>
      <c r="AD2" s="255"/>
      <c r="AE2" s="255"/>
      <c r="AF2" s="255"/>
      <c r="AG2" s="255"/>
      <c r="AH2" s="255"/>
      <c r="AI2" s="255"/>
      <c r="AJ2" s="255"/>
      <c r="AK2" s="255"/>
      <c r="AL2" s="256"/>
      <c r="AM2" s="243"/>
      <c r="AN2" s="243"/>
      <c r="AO2" s="243"/>
      <c r="AP2" s="243"/>
      <c r="AQ2" s="243"/>
      <c r="AR2" s="243"/>
      <c r="AS2" s="243"/>
      <c r="AT2" s="243"/>
      <c r="AU2" s="243"/>
      <c r="AV2" s="243"/>
      <c r="AW2" s="243"/>
      <c r="AX2" s="243"/>
      <c r="AY2" s="243"/>
      <c r="AZ2" s="243"/>
      <c r="BA2" s="243"/>
      <c r="BB2" s="256"/>
      <c r="BC2" s="256"/>
      <c r="BD2" s="256"/>
      <c r="BE2" s="243"/>
      <c r="BF2" s="243"/>
      <c r="BG2" s="243"/>
      <c r="BH2" s="243"/>
      <c r="BI2" s="243"/>
      <c r="BJ2" s="243"/>
      <c r="BK2" s="243"/>
      <c r="BL2" s="243"/>
      <c r="BM2" s="243"/>
      <c r="BN2" s="243"/>
      <c r="BO2" s="243"/>
      <c r="BP2" s="256"/>
      <c r="BQ2" s="243"/>
      <c r="BR2" s="243"/>
      <c r="BS2" s="256"/>
      <c r="BT2" s="256"/>
      <c r="BU2" s="801"/>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43"/>
      <c r="DE2" s="243"/>
      <c r="DF2" s="243"/>
      <c r="DG2" s="243"/>
      <c r="DH2" s="243"/>
      <c r="DI2" s="243"/>
      <c r="DJ2" s="243"/>
      <c r="DK2" s="243"/>
      <c r="DL2" s="243"/>
      <c r="DM2" s="243"/>
      <c r="DN2" s="243"/>
      <c r="DO2" s="243"/>
    </row>
    <row r="3" spans="1:119" s="6" customFormat="1" ht="2.4500000000000002" customHeight="1">
      <c r="A3" s="475"/>
      <c r="B3" s="1419"/>
      <c r="C3" s="1419"/>
      <c r="D3" s="475"/>
      <c r="E3" s="533"/>
      <c r="F3" s="524"/>
      <c r="G3" s="527"/>
      <c r="H3" s="527"/>
      <c r="I3" s="527"/>
      <c r="J3" s="527"/>
      <c r="K3" s="527"/>
      <c r="L3" s="527"/>
      <c r="M3" s="531"/>
      <c r="N3" s="531"/>
      <c r="O3" s="531"/>
      <c r="P3" s="530"/>
      <c r="Q3" s="530"/>
      <c r="R3" s="530"/>
      <c r="S3" s="530"/>
      <c r="T3" s="530"/>
      <c r="U3" s="255"/>
      <c r="V3" s="483"/>
      <c r="W3" s="262"/>
      <c r="X3" s="262"/>
      <c r="Y3" s="262"/>
      <c r="Z3" s="262"/>
      <c r="AA3" s="262"/>
      <c r="AB3" s="262"/>
      <c r="AC3" s="262"/>
      <c r="AD3" s="262"/>
      <c r="AE3" s="262"/>
      <c r="AF3" s="262"/>
      <c r="AG3" s="262"/>
      <c r="AH3" s="262"/>
      <c r="AI3" s="262"/>
      <c r="AJ3" s="262"/>
      <c r="AK3" s="263"/>
      <c r="AL3" s="256"/>
      <c r="AM3" s="243"/>
      <c r="AN3" s="243"/>
      <c r="AO3" s="483"/>
      <c r="AP3" s="262"/>
      <c r="AQ3" s="262"/>
      <c r="AR3" s="262"/>
      <c r="AS3" s="262"/>
      <c r="AT3" s="262"/>
      <c r="AU3" s="262"/>
      <c r="AV3" s="262"/>
      <c r="AW3" s="262"/>
      <c r="AX3" s="262"/>
      <c r="AY3" s="262"/>
      <c r="AZ3" s="262"/>
      <c r="BA3" s="263"/>
      <c r="BB3" s="256"/>
      <c r="BC3" s="256"/>
      <c r="BD3" s="256"/>
      <c r="BE3" s="483"/>
      <c r="BF3" s="262"/>
      <c r="BG3" s="262"/>
      <c r="BH3" s="262"/>
      <c r="BI3" s="262"/>
      <c r="BJ3" s="262"/>
      <c r="BK3" s="262"/>
      <c r="BL3" s="262"/>
      <c r="BM3" s="262"/>
      <c r="BN3" s="262"/>
      <c r="BO3" s="262"/>
      <c r="BP3" s="1284" t="str">
        <f>AH4</f>
        <v>01. Mai 2022; Vers. 4.3.3
© Werner Schmid</v>
      </c>
      <c r="BQ3" s="1284"/>
      <c r="BR3" s="1285"/>
      <c r="BS3" s="256"/>
      <c r="BT3" s="256"/>
      <c r="BU3" s="801"/>
      <c r="BV3" s="256"/>
      <c r="BW3" s="256"/>
      <c r="BX3" s="256"/>
      <c r="BY3" s="256"/>
      <c r="BZ3" s="256"/>
      <c r="CA3" s="256"/>
      <c r="CB3" s="256"/>
      <c r="CC3" s="256"/>
      <c r="CD3" s="256"/>
      <c r="CE3" s="256"/>
      <c r="CF3" s="256"/>
      <c r="CG3" s="256"/>
      <c r="CH3" s="256"/>
      <c r="CI3" s="256"/>
      <c r="CJ3" s="256"/>
      <c r="CK3" s="256"/>
      <c r="CL3" s="256"/>
      <c r="CM3" s="483"/>
      <c r="CN3" s="262"/>
      <c r="CO3" s="262"/>
      <c r="CP3" s="262"/>
      <c r="CQ3" s="262"/>
      <c r="CR3" s="262"/>
      <c r="CS3" s="262"/>
      <c r="CT3" s="262"/>
      <c r="CU3" s="262"/>
      <c r="CV3" s="262"/>
      <c r="CW3" s="262"/>
      <c r="CX3" s="262"/>
      <c r="CY3" s="262"/>
      <c r="CZ3" s="262"/>
      <c r="DA3" s="262"/>
      <c r="DB3" s="263"/>
      <c r="DC3" s="256"/>
      <c r="DD3" s="243"/>
      <c r="DE3" s="243"/>
      <c r="DF3" s="243"/>
      <c r="DG3" s="243"/>
      <c r="DH3" s="243"/>
      <c r="DI3" s="243"/>
      <c r="DJ3" s="243"/>
      <c r="DK3" s="243"/>
      <c r="DL3" s="243"/>
      <c r="DM3" s="243"/>
      <c r="DN3" s="243"/>
      <c r="DO3" s="243"/>
    </row>
    <row r="4" spans="1:119" s="6" customFormat="1" ht="2.4500000000000002" customHeight="1">
      <c r="A4" s="475"/>
      <c r="B4" s="1419"/>
      <c r="C4" s="1419"/>
      <c r="D4" s="475"/>
      <c r="E4" s="266"/>
      <c r="F4" s="524"/>
      <c r="G4" s="427"/>
      <c r="H4" s="258"/>
      <c r="I4" s="258"/>
      <c r="J4" s="258"/>
      <c r="K4" s="258"/>
      <c r="L4" s="258"/>
      <c r="M4" s="699"/>
      <c r="N4" s="699"/>
      <c r="O4" s="699"/>
      <c r="P4" s="699"/>
      <c r="Q4" s="699"/>
      <c r="R4" s="699"/>
      <c r="S4" s="699"/>
      <c r="T4" s="530"/>
      <c r="U4" s="255"/>
      <c r="V4" s="537"/>
      <c r="W4" s="538"/>
      <c r="X4" s="538"/>
      <c r="Y4" s="538"/>
      <c r="Z4" s="538"/>
      <c r="AA4" s="538"/>
      <c r="AB4" s="538"/>
      <c r="AC4" s="538"/>
      <c r="AD4" s="538"/>
      <c r="AE4" s="538"/>
      <c r="AF4" s="538"/>
      <c r="AG4" s="538"/>
      <c r="AH4" s="1270" t="str">
        <f>""&amp;Programmbeschreibung!D3&amp;"
© Werner Schmid"</f>
        <v>01. Mai 2022; Vers. 4.3.3
© Werner Schmid</v>
      </c>
      <c r="AI4" s="1270"/>
      <c r="AJ4" s="1270"/>
      <c r="AK4" s="1271"/>
      <c r="AL4" s="256"/>
      <c r="AM4" s="256"/>
      <c r="AN4" s="256"/>
      <c r="AO4" s="537"/>
      <c r="AP4" s="538"/>
      <c r="AQ4" s="538"/>
      <c r="AR4" s="538"/>
      <c r="AS4" s="538"/>
      <c r="AT4" s="538"/>
      <c r="AU4" s="538"/>
      <c r="AV4" s="538"/>
      <c r="AW4" s="538"/>
      <c r="AX4" s="538"/>
      <c r="AY4" s="1270" t="str">
        <f>AH4</f>
        <v>01. Mai 2022; Vers. 4.3.3
© Werner Schmid</v>
      </c>
      <c r="AZ4" s="1270"/>
      <c r="BA4" s="1271"/>
      <c r="BB4" s="256"/>
      <c r="BC4" s="256"/>
      <c r="BD4" s="256"/>
      <c r="BE4" s="537"/>
      <c r="BF4" s="538"/>
      <c r="BG4" s="538"/>
      <c r="BH4" s="538"/>
      <c r="BI4" s="538"/>
      <c r="BJ4" s="538"/>
      <c r="BK4" s="538"/>
      <c r="BL4" s="538"/>
      <c r="BM4" s="538"/>
      <c r="BN4" s="539"/>
      <c r="BO4" s="539"/>
      <c r="BP4" s="1270"/>
      <c r="BQ4" s="1270"/>
      <c r="BR4" s="1271"/>
      <c r="BS4" s="256"/>
      <c r="BT4" s="256"/>
      <c r="BU4" s="801"/>
      <c r="BV4" s="537"/>
      <c r="BW4" s="538"/>
      <c r="BX4" s="538"/>
      <c r="BY4" s="538"/>
      <c r="BZ4" s="538"/>
      <c r="CA4" s="538"/>
      <c r="CB4" s="538"/>
      <c r="CC4" s="538"/>
      <c r="CD4" s="538"/>
      <c r="CE4" s="538"/>
      <c r="CF4" s="538"/>
      <c r="CG4" s="1270" t="str">
        <f>AH4</f>
        <v>01. Mai 2022; Vers. 4.3.3
© Werner Schmid</v>
      </c>
      <c r="CH4" s="1270"/>
      <c r="CI4" s="1271"/>
      <c r="CJ4" s="256"/>
      <c r="CK4" s="256"/>
      <c r="CL4" s="256"/>
      <c r="CM4" s="537"/>
      <c r="CN4" s="538"/>
      <c r="CO4" s="538"/>
      <c r="CP4" s="538"/>
      <c r="CQ4" s="538"/>
      <c r="CR4" s="538"/>
      <c r="CS4" s="538"/>
      <c r="CT4" s="538"/>
      <c r="CU4" s="538"/>
      <c r="CV4" s="538"/>
      <c r="CW4" s="538"/>
      <c r="CX4" s="538"/>
      <c r="CY4" s="1270" t="str">
        <f>AH4</f>
        <v>01. Mai 2022; Vers. 4.3.3
© Werner Schmid</v>
      </c>
      <c r="CZ4" s="1270"/>
      <c r="DA4" s="1270"/>
      <c r="DB4" s="1271"/>
      <c r="DC4" s="256"/>
      <c r="DD4" s="243"/>
      <c r="DE4" s="243"/>
      <c r="DF4" s="243"/>
      <c r="DG4" s="243"/>
      <c r="DH4" s="243"/>
      <c r="DI4" s="243"/>
      <c r="DJ4" s="243"/>
      <c r="DK4" s="243"/>
      <c r="DL4" s="243"/>
      <c r="DM4" s="243"/>
      <c r="DN4" s="243"/>
      <c r="DO4" s="243"/>
    </row>
    <row r="5" spans="1:119" s="6" customFormat="1" ht="11.85" customHeight="1">
      <c r="A5" s="475"/>
      <c r="B5" s="1419"/>
      <c r="C5" s="1419"/>
      <c r="D5" s="475"/>
      <c r="E5" s="755">
        <f>ZRB!G3</f>
        <v>44957</v>
      </c>
      <c r="F5" s="524"/>
      <c r="G5" s="1363"/>
      <c r="H5" s="1363"/>
      <c r="I5" s="1363"/>
      <c r="J5" s="1363"/>
      <c r="K5" s="1363"/>
      <c r="L5" s="1363"/>
      <c r="M5" s="1363"/>
      <c r="N5" s="1363"/>
      <c r="O5" s="1363"/>
      <c r="P5" s="1363"/>
      <c r="Q5" s="1363"/>
      <c r="R5" s="1363"/>
      <c r="S5" s="1363"/>
      <c r="T5" s="526"/>
      <c r="U5" s="255"/>
      <c r="V5" s="1274" t="s">
        <v>336</v>
      </c>
      <c r="W5" s="1275"/>
      <c r="X5" s="1275"/>
      <c r="Y5" s="1275"/>
      <c r="Z5" s="1275"/>
      <c r="AA5" s="1275"/>
      <c r="AB5" s="1275"/>
      <c r="AC5" s="1278" t="s">
        <v>338</v>
      </c>
      <c r="AD5" s="1278"/>
      <c r="AE5" s="1278"/>
      <c r="AF5" s="1278"/>
      <c r="AG5" s="1278"/>
      <c r="AH5" s="1270"/>
      <c r="AI5" s="1270"/>
      <c r="AJ5" s="1270"/>
      <c r="AK5" s="1271"/>
      <c r="AL5" s="256"/>
      <c r="AM5" s="256"/>
      <c r="AN5" s="256"/>
      <c r="AO5" s="1274" t="s">
        <v>336</v>
      </c>
      <c r="AP5" s="1275"/>
      <c r="AQ5" s="1275"/>
      <c r="AR5" s="1275"/>
      <c r="AS5" s="1275"/>
      <c r="AT5" s="1275"/>
      <c r="AU5" s="1278" t="s">
        <v>340</v>
      </c>
      <c r="AV5" s="1278"/>
      <c r="AW5" s="1278"/>
      <c r="AX5" s="491"/>
      <c r="AY5" s="1270"/>
      <c r="AZ5" s="1270"/>
      <c r="BA5" s="1271"/>
      <c r="BB5" s="256"/>
      <c r="BC5" s="256"/>
      <c r="BD5" s="256"/>
      <c r="BE5" s="1274" t="s">
        <v>336</v>
      </c>
      <c r="BF5" s="1275"/>
      <c r="BG5" s="1275"/>
      <c r="BH5" s="1275"/>
      <c r="BI5" s="1275"/>
      <c r="BJ5" s="539"/>
      <c r="BK5" s="539"/>
      <c r="BL5" s="1278" t="s">
        <v>350</v>
      </c>
      <c r="BM5" s="1278"/>
      <c r="BN5" s="1278"/>
      <c r="BO5" s="539"/>
      <c r="BP5" s="1270"/>
      <c r="BQ5" s="1270"/>
      <c r="BR5" s="1271"/>
      <c r="BS5" s="256"/>
      <c r="BT5" s="256"/>
      <c r="BU5" s="801"/>
      <c r="BV5" s="1274" t="s">
        <v>336</v>
      </c>
      <c r="BW5" s="1275"/>
      <c r="BX5" s="1275"/>
      <c r="BY5" s="1275"/>
      <c r="BZ5" s="1275"/>
      <c r="CA5" s="1275"/>
      <c r="CB5" s="1276" t="s">
        <v>539</v>
      </c>
      <c r="CC5" s="1276"/>
      <c r="CD5" s="1276"/>
      <c r="CE5" s="1276"/>
      <c r="CF5" s="1276"/>
      <c r="CG5" s="1270"/>
      <c r="CH5" s="1270"/>
      <c r="CI5" s="1271"/>
      <c r="CJ5" s="256"/>
      <c r="CK5" s="256"/>
      <c r="CL5" s="256"/>
      <c r="CM5" s="1274" t="s">
        <v>336</v>
      </c>
      <c r="CN5" s="1275"/>
      <c r="CO5" s="1275"/>
      <c r="CP5" s="1275"/>
      <c r="CQ5" s="1275"/>
      <c r="CR5" s="1275"/>
      <c r="CS5" s="1275"/>
      <c r="CT5" s="1276" t="s">
        <v>359</v>
      </c>
      <c r="CU5" s="1276"/>
      <c r="CV5" s="1276"/>
      <c r="CW5" s="1276"/>
      <c r="CX5" s="1276"/>
      <c r="CY5" s="1270"/>
      <c r="CZ5" s="1270"/>
      <c r="DA5" s="1270"/>
      <c r="DB5" s="1271"/>
      <c r="DC5" s="256"/>
      <c r="DD5" s="243"/>
      <c r="DE5" s="243"/>
      <c r="DF5" s="243"/>
      <c r="DG5" s="243"/>
      <c r="DH5" s="243"/>
      <c r="DI5" s="243"/>
      <c r="DJ5" s="243"/>
      <c r="DK5" s="243"/>
      <c r="DL5" s="243"/>
      <c r="DM5" s="243"/>
      <c r="DN5" s="243"/>
      <c r="DO5" s="243"/>
    </row>
    <row r="6" spans="1:119" s="6" customFormat="1" ht="2.4500000000000002" customHeight="1">
      <c r="A6" s="475"/>
      <c r="B6" s="1419"/>
      <c r="C6" s="1419"/>
      <c r="D6" s="475"/>
      <c r="E6" s="266"/>
      <c r="F6" s="524"/>
      <c r="G6" s="1363"/>
      <c r="H6" s="1363"/>
      <c r="I6" s="1363"/>
      <c r="J6" s="1363"/>
      <c r="K6" s="1363"/>
      <c r="L6" s="1363"/>
      <c r="M6" s="1363"/>
      <c r="N6" s="1363"/>
      <c r="O6" s="1363"/>
      <c r="P6" s="1363"/>
      <c r="Q6" s="1363"/>
      <c r="R6" s="1363"/>
      <c r="S6" s="1363"/>
      <c r="T6" s="526"/>
      <c r="U6" s="255"/>
      <c r="V6" s="1274"/>
      <c r="W6" s="1275"/>
      <c r="X6" s="1275"/>
      <c r="Y6" s="1275"/>
      <c r="Z6" s="1275"/>
      <c r="AA6" s="1275"/>
      <c r="AB6" s="1275"/>
      <c r="AC6" s="1278"/>
      <c r="AD6" s="1278"/>
      <c r="AE6" s="1278"/>
      <c r="AF6" s="1278"/>
      <c r="AG6" s="1278"/>
      <c r="AH6" s="1270"/>
      <c r="AI6" s="1270"/>
      <c r="AJ6" s="1270"/>
      <c r="AK6" s="1271"/>
      <c r="AL6" s="243"/>
      <c r="AM6" s="243"/>
      <c r="AN6" s="243"/>
      <c r="AO6" s="1274"/>
      <c r="AP6" s="1275"/>
      <c r="AQ6" s="1275"/>
      <c r="AR6" s="1275"/>
      <c r="AS6" s="1275"/>
      <c r="AT6" s="1275"/>
      <c r="AU6" s="1278"/>
      <c r="AV6" s="1278"/>
      <c r="AW6" s="1278"/>
      <c r="AX6" s="491"/>
      <c r="AY6" s="1270"/>
      <c r="AZ6" s="1270"/>
      <c r="BA6" s="1271"/>
      <c r="BB6" s="243"/>
      <c r="BC6" s="243"/>
      <c r="BD6" s="243"/>
      <c r="BE6" s="1274"/>
      <c r="BF6" s="1275"/>
      <c r="BG6" s="1275"/>
      <c r="BH6" s="1275"/>
      <c r="BI6" s="1275"/>
      <c r="BJ6" s="539"/>
      <c r="BK6" s="539"/>
      <c r="BL6" s="1278"/>
      <c r="BM6" s="1278"/>
      <c r="BN6" s="1278"/>
      <c r="BO6" s="539"/>
      <c r="BP6" s="1270"/>
      <c r="BQ6" s="1270"/>
      <c r="BR6" s="1271"/>
      <c r="BS6" s="243"/>
      <c r="BT6" s="256"/>
      <c r="BU6" s="801"/>
      <c r="BV6" s="1274"/>
      <c r="BW6" s="1275"/>
      <c r="BX6" s="1275"/>
      <c r="BY6" s="1275"/>
      <c r="BZ6" s="1275"/>
      <c r="CA6" s="1275"/>
      <c r="CB6" s="1276"/>
      <c r="CC6" s="1276"/>
      <c r="CD6" s="1276"/>
      <c r="CE6" s="1276"/>
      <c r="CF6" s="1276"/>
      <c r="CG6" s="1270"/>
      <c r="CH6" s="1270"/>
      <c r="CI6" s="1271"/>
      <c r="CJ6" s="256"/>
      <c r="CK6" s="243"/>
      <c r="CL6" s="243"/>
      <c r="CM6" s="1274"/>
      <c r="CN6" s="1275"/>
      <c r="CO6" s="1275"/>
      <c r="CP6" s="1275"/>
      <c r="CQ6" s="1275"/>
      <c r="CR6" s="1275"/>
      <c r="CS6" s="1275"/>
      <c r="CT6" s="1276"/>
      <c r="CU6" s="1276"/>
      <c r="CV6" s="1276"/>
      <c r="CW6" s="1276"/>
      <c r="CX6" s="1276"/>
      <c r="CY6" s="1270"/>
      <c r="CZ6" s="1270"/>
      <c r="DA6" s="1270"/>
      <c r="DB6" s="1271"/>
      <c r="DC6" s="243"/>
      <c r="DD6" s="243"/>
      <c r="DE6" s="243"/>
      <c r="DF6" s="243"/>
      <c r="DG6" s="243"/>
      <c r="DH6" s="243"/>
      <c r="DI6" s="243"/>
      <c r="DJ6" s="243"/>
      <c r="DK6" s="243"/>
      <c r="DL6" s="243"/>
      <c r="DM6" s="243"/>
      <c r="DN6" s="243"/>
      <c r="DO6" s="243"/>
    </row>
    <row r="7" spans="1:119" s="6" customFormat="1" ht="11.85" customHeight="1">
      <c r="A7" s="475"/>
      <c r="B7" s="1419"/>
      <c r="C7" s="1419"/>
      <c r="D7" s="475"/>
      <c r="E7" s="266" t="str">
        <f ca="1">MID(CELL("dateiname",A2),FIND("]",CELL("dateiname",A2))+1,255)</f>
        <v>Kalkulation_Eigenstrom</v>
      </c>
      <c r="F7" s="524"/>
      <c r="G7" s="1363"/>
      <c r="H7" s="1363"/>
      <c r="I7" s="1363"/>
      <c r="J7" s="1363"/>
      <c r="K7" s="1363"/>
      <c r="L7" s="1363"/>
      <c r="M7" s="1363"/>
      <c r="N7" s="1363"/>
      <c r="O7" s="1363"/>
      <c r="P7" s="1363"/>
      <c r="Q7" s="1363"/>
      <c r="R7" s="1363"/>
      <c r="S7" s="1363"/>
      <c r="T7" s="526"/>
      <c r="U7" s="255"/>
      <c r="V7" s="1274"/>
      <c r="W7" s="1275"/>
      <c r="X7" s="1275"/>
      <c r="Y7" s="1275"/>
      <c r="Z7" s="1275"/>
      <c r="AA7" s="1275"/>
      <c r="AB7" s="1275"/>
      <c r="AC7" s="1278"/>
      <c r="AD7" s="1278"/>
      <c r="AE7" s="1278"/>
      <c r="AF7" s="1278"/>
      <c r="AG7" s="1278"/>
      <c r="AH7" s="1270"/>
      <c r="AI7" s="1270"/>
      <c r="AJ7" s="1270"/>
      <c r="AK7" s="1271"/>
      <c r="AL7" s="243"/>
      <c r="AM7" s="243"/>
      <c r="AN7" s="243"/>
      <c r="AO7" s="1274"/>
      <c r="AP7" s="1275"/>
      <c r="AQ7" s="1275"/>
      <c r="AR7" s="1275"/>
      <c r="AS7" s="1275"/>
      <c r="AT7" s="1275"/>
      <c r="AU7" s="1278"/>
      <c r="AV7" s="1278"/>
      <c r="AW7" s="1278"/>
      <c r="AX7" s="491"/>
      <c r="AY7" s="1270"/>
      <c r="AZ7" s="1270"/>
      <c r="BA7" s="1271"/>
      <c r="BB7" s="243"/>
      <c r="BC7" s="243"/>
      <c r="BD7" s="243"/>
      <c r="BE7" s="1286"/>
      <c r="BF7" s="1287"/>
      <c r="BG7" s="1287"/>
      <c r="BH7" s="1287"/>
      <c r="BI7" s="1287"/>
      <c r="BJ7" s="541"/>
      <c r="BK7" s="541"/>
      <c r="BL7" s="1288"/>
      <c r="BM7" s="1288"/>
      <c r="BN7" s="1288"/>
      <c r="BO7" s="541"/>
      <c r="BP7" s="1272"/>
      <c r="BQ7" s="1272"/>
      <c r="BR7" s="1273"/>
      <c r="BS7" s="243"/>
      <c r="BT7" s="256"/>
      <c r="BU7" s="801"/>
      <c r="BV7" s="1274"/>
      <c r="BW7" s="1275"/>
      <c r="BX7" s="1275"/>
      <c r="BY7" s="1275"/>
      <c r="BZ7" s="1275"/>
      <c r="CA7" s="1275"/>
      <c r="CB7" s="1276"/>
      <c r="CC7" s="1276"/>
      <c r="CD7" s="1276"/>
      <c r="CE7" s="1276"/>
      <c r="CF7" s="1276"/>
      <c r="CG7" s="1270"/>
      <c r="CH7" s="1270"/>
      <c r="CI7" s="1271"/>
      <c r="CJ7" s="256"/>
      <c r="CK7" s="243"/>
      <c r="CL7" s="243"/>
      <c r="CM7" s="1274"/>
      <c r="CN7" s="1275"/>
      <c r="CO7" s="1275"/>
      <c r="CP7" s="1275"/>
      <c r="CQ7" s="1275"/>
      <c r="CR7" s="1275"/>
      <c r="CS7" s="1275"/>
      <c r="CT7" s="1276"/>
      <c r="CU7" s="1276"/>
      <c r="CV7" s="1276"/>
      <c r="CW7" s="1276"/>
      <c r="CX7" s="1276"/>
      <c r="CY7" s="1270"/>
      <c r="CZ7" s="1270"/>
      <c r="DA7" s="1270"/>
      <c r="DB7" s="1271"/>
      <c r="DC7" s="243"/>
      <c r="DD7" s="243"/>
      <c r="DE7" s="243"/>
      <c r="DF7" s="243"/>
      <c r="DG7" s="243"/>
      <c r="DH7" s="243"/>
      <c r="DI7" s="243"/>
      <c r="DJ7" s="243"/>
      <c r="DK7" s="243"/>
      <c r="DL7" s="243"/>
      <c r="DM7" s="243"/>
      <c r="DN7" s="243"/>
      <c r="DO7" s="243"/>
    </row>
    <row r="8" spans="1:119" s="6" customFormat="1" ht="2.4500000000000002" customHeight="1">
      <c r="A8" s="475"/>
      <c r="B8" s="479"/>
      <c r="C8" s="479"/>
      <c r="D8" s="475"/>
      <c r="E8" s="149"/>
      <c r="F8" s="524"/>
      <c r="G8" s="1363"/>
      <c r="H8" s="1363"/>
      <c r="I8" s="1363"/>
      <c r="J8" s="1363"/>
      <c r="K8" s="1363"/>
      <c r="L8" s="1363"/>
      <c r="M8" s="1363"/>
      <c r="N8" s="1363"/>
      <c r="O8" s="1363"/>
      <c r="P8" s="1363"/>
      <c r="Q8" s="1363"/>
      <c r="R8" s="1363"/>
      <c r="S8" s="1363"/>
      <c r="T8" s="526"/>
      <c r="U8" s="255"/>
      <c r="V8" s="492"/>
      <c r="W8" s="493"/>
      <c r="X8" s="493"/>
      <c r="Y8" s="493"/>
      <c r="Z8" s="493"/>
      <c r="AA8" s="493"/>
      <c r="AB8" s="493"/>
      <c r="AC8" s="493"/>
      <c r="AD8" s="493"/>
      <c r="AE8" s="493"/>
      <c r="AF8" s="493"/>
      <c r="AG8" s="493"/>
      <c r="AH8" s="1272"/>
      <c r="AI8" s="1272"/>
      <c r="AJ8" s="1272"/>
      <c r="AK8" s="1273"/>
      <c r="AL8" s="243"/>
      <c r="AM8" s="243"/>
      <c r="AN8" s="243"/>
      <c r="AO8" s="492"/>
      <c r="AP8" s="493"/>
      <c r="AQ8" s="493"/>
      <c r="AR8" s="493"/>
      <c r="AS8" s="493"/>
      <c r="AT8" s="493"/>
      <c r="AU8" s="493"/>
      <c r="AV8" s="493"/>
      <c r="AW8" s="493"/>
      <c r="AX8" s="493"/>
      <c r="AY8" s="1272"/>
      <c r="AZ8" s="1272"/>
      <c r="BA8" s="1273"/>
      <c r="BB8" s="243"/>
      <c r="BC8" s="243"/>
      <c r="BD8" s="243"/>
      <c r="BE8" s="540"/>
      <c r="BF8" s="540"/>
      <c r="BG8" s="540"/>
      <c r="BH8" s="540"/>
      <c r="BI8" s="540"/>
      <c r="BJ8" s="540"/>
      <c r="BK8" s="540"/>
      <c r="BL8" s="540"/>
      <c r="BM8" s="540"/>
      <c r="BN8" s="466"/>
      <c r="BO8" s="466"/>
      <c r="BP8" s="243"/>
      <c r="BQ8" s="243"/>
      <c r="BR8" s="243"/>
      <c r="BS8" s="243"/>
      <c r="BT8" s="256"/>
      <c r="BU8" s="801"/>
      <c r="BV8" s="492"/>
      <c r="BW8" s="493"/>
      <c r="BX8" s="493"/>
      <c r="BY8" s="493"/>
      <c r="BZ8" s="493"/>
      <c r="CA8" s="493"/>
      <c r="CB8" s="493"/>
      <c r="CC8" s="493"/>
      <c r="CD8" s="493"/>
      <c r="CE8" s="493"/>
      <c r="CF8" s="493"/>
      <c r="CG8" s="1272"/>
      <c r="CH8" s="1272"/>
      <c r="CI8" s="1273"/>
      <c r="CJ8" s="256"/>
      <c r="CK8" s="243"/>
      <c r="CL8" s="243"/>
      <c r="CM8" s="492"/>
      <c r="CN8" s="493"/>
      <c r="CO8" s="493"/>
      <c r="CP8" s="493"/>
      <c r="CQ8" s="493"/>
      <c r="CR8" s="493"/>
      <c r="CS8" s="493"/>
      <c r="CT8" s="493"/>
      <c r="CU8" s="493"/>
      <c r="CV8" s="493"/>
      <c r="CW8" s="493"/>
      <c r="CX8" s="493"/>
      <c r="CY8" s="1272"/>
      <c r="CZ8" s="1272"/>
      <c r="DA8" s="1272"/>
      <c r="DB8" s="1273"/>
      <c r="DC8" s="243"/>
      <c r="DD8" s="243"/>
      <c r="DE8" s="243"/>
      <c r="DF8" s="243"/>
      <c r="DG8" s="243"/>
      <c r="DH8" s="243"/>
      <c r="DI8" s="243"/>
      <c r="DJ8" s="243"/>
      <c r="DK8" s="243"/>
      <c r="DL8" s="243"/>
      <c r="DM8" s="243"/>
      <c r="DN8" s="243"/>
      <c r="DO8" s="243"/>
    </row>
    <row r="9" spans="1:119" s="6" customFormat="1" ht="11.85" customHeight="1">
      <c r="A9" s="1376" t="s">
        <v>361</v>
      </c>
      <c r="B9" s="1376"/>
      <c r="C9" s="1376"/>
      <c r="D9" s="1376"/>
      <c r="E9" s="756">
        <f ca="1">IF(E5&lt;E2,1,0)</f>
        <v>0</v>
      </c>
      <c r="F9" s="524"/>
      <c r="G9" s="524"/>
      <c r="H9" s="524"/>
      <c r="I9" s="524"/>
      <c r="J9" s="524"/>
      <c r="K9" s="524"/>
      <c r="L9" s="524"/>
      <c r="M9" s="524"/>
      <c r="N9" s="524"/>
      <c r="O9" s="524"/>
      <c r="P9" s="524"/>
      <c r="Q9" s="524"/>
      <c r="R9" s="524"/>
      <c r="S9" s="636"/>
      <c r="T9" s="524"/>
      <c r="U9" s="255"/>
      <c r="V9" s="490"/>
      <c r="W9" s="490"/>
      <c r="X9" s="490"/>
      <c r="Y9" s="490"/>
      <c r="Z9" s="490"/>
      <c r="AA9" s="490"/>
      <c r="AB9" s="490"/>
      <c r="AC9" s="490"/>
      <c r="AD9" s="490"/>
      <c r="AE9" s="490"/>
      <c r="AF9" s="490"/>
      <c r="AG9" s="490"/>
      <c r="AH9" s="490"/>
      <c r="AI9" s="490"/>
      <c r="AJ9" s="490"/>
      <c r="AK9" s="490"/>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56"/>
      <c r="BU9" s="801"/>
      <c r="BV9" s="256"/>
      <c r="BW9" s="256"/>
      <c r="BX9" s="256"/>
      <c r="BY9" s="256"/>
      <c r="BZ9" s="256"/>
      <c r="CA9" s="256"/>
      <c r="CB9" s="256"/>
      <c r="CC9" s="256"/>
      <c r="CD9" s="256"/>
      <c r="CE9" s="256"/>
      <c r="CF9" s="256"/>
      <c r="CG9" s="256"/>
      <c r="CH9" s="256"/>
      <c r="CI9" s="256"/>
      <c r="CJ9" s="256"/>
      <c r="CK9" s="243"/>
      <c r="CL9" s="243"/>
      <c r="CM9" s="243"/>
      <c r="CN9" s="243"/>
      <c r="CO9" s="243"/>
      <c r="CP9" s="243"/>
      <c r="CQ9" s="243"/>
      <c r="CR9" s="243"/>
      <c r="CS9" s="243"/>
      <c r="CT9" s="243"/>
      <c r="CU9" s="243"/>
      <c r="CV9" s="243"/>
      <c r="CW9" s="243"/>
      <c r="CX9" s="243"/>
      <c r="CY9" s="243"/>
      <c r="CZ9" s="243"/>
      <c r="DA9" s="243"/>
      <c r="DB9" s="243"/>
      <c r="DC9" s="243"/>
      <c r="DD9" s="243"/>
      <c r="DE9" s="243"/>
      <c r="DF9" s="243"/>
      <c r="DG9" s="243"/>
      <c r="DH9" s="243"/>
      <c r="DI9" s="243"/>
      <c r="DJ9" s="243"/>
      <c r="DK9" s="243"/>
      <c r="DL9" s="243"/>
      <c r="DM9" s="243"/>
      <c r="DN9" s="243"/>
      <c r="DO9" s="243"/>
    </row>
    <row r="10" spans="1:119" s="6" customFormat="1" ht="2.4500000000000002" customHeight="1">
      <c r="A10" s="1376"/>
      <c r="B10" s="1376"/>
      <c r="C10" s="1376"/>
      <c r="D10" s="1376"/>
      <c r="E10" s="266"/>
      <c r="F10" s="532"/>
      <c r="G10" s="260"/>
      <c r="H10" s="261"/>
      <c r="I10" s="261"/>
      <c r="J10" s="261"/>
      <c r="K10" s="261"/>
      <c r="L10" s="261"/>
      <c r="M10" s="261"/>
      <c r="N10" s="261"/>
      <c r="O10" s="262"/>
      <c r="P10" s="262"/>
      <c r="Q10" s="262"/>
      <c r="R10" s="262"/>
      <c r="S10" s="263"/>
      <c r="T10" s="526"/>
      <c r="U10" s="255"/>
      <c r="V10" s="483"/>
      <c r="W10" s="262"/>
      <c r="X10" s="262"/>
      <c r="Y10" s="262"/>
      <c r="Z10" s="262"/>
      <c r="AA10" s="262"/>
      <c r="AB10" s="262"/>
      <c r="AC10" s="262"/>
      <c r="AD10" s="262"/>
      <c r="AE10" s="262"/>
      <c r="AF10" s="262"/>
      <c r="AG10" s="262"/>
      <c r="AH10" s="262"/>
      <c r="AI10" s="262"/>
      <c r="AJ10" s="262"/>
      <c r="AK10" s="263"/>
      <c r="AL10" s="243"/>
      <c r="AM10" s="243"/>
      <c r="AN10" s="327"/>
      <c r="AO10" s="260"/>
      <c r="AP10" s="261"/>
      <c r="AQ10" s="261"/>
      <c r="AR10" s="261"/>
      <c r="AS10" s="261"/>
      <c r="AT10" s="261"/>
      <c r="AU10" s="262"/>
      <c r="AV10" s="262"/>
      <c r="AW10" s="262"/>
      <c r="AX10" s="262"/>
      <c r="AY10" s="262"/>
      <c r="AZ10" s="262"/>
      <c r="BA10" s="263"/>
      <c r="BB10" s="243"/>
      <c r="BC10" s="243"/>
      <c r="BD10" s="243"/>
      <c r="BE10" s="260"/>
      <c r="BF10" s="261"/>
      <c r="BG10" s="261"/>
      <c r="BH10" s="261"/>
      <c r="BI10" s="261"/>
      <c r="BJ10" s="262"/>
      <c r="BK10" s="262"/>
      <c r="BL10" s="262"/>
      <c r="BM10" s="262"/>
      <c r="BN10" s="262"/>
      <c r="BO10" s="262"/>
      <c r="BP10" s="262"/>
      <c r="BQ10" s="262"/>
      <c r="BR10" s="263"/>
      <c r="BS10" s="243"/>
      <c r="BT10" s="256"/>
      <c r="BU10" s="801"/>
      <c r="BV10" s="558"/>
      <c r="BW10" s="559"/>
      <c r="BX10" s="559"/>
      <c r="BY10" s="559"/>
      <c r="BZ10" s="559"/>
      <c r="CA10" s="559"/>
      <c r="CB10" s="560"/>
      <c r="CC10" s="560"/>
      <c r="CD10" s="560"/>
      <c r="CE10" s="560"/>
      <c r="CF10" s="560"/>
      <c r="CG10" s="560"/>
      <c r="CH10" s="560"/>
      <c r="CI10" s="561"/>
      <c r="CJ10" s="256"/>
      <c r="CK10" s="243"/>
      <c r="CL10" s="243"/>
      <c r="CM10" s="558"/>
      <c r="CN10" s="559"/>
      <c r="CO10" s="559"/>
      <c r="CP10" s="559"/>
      <c r="CQ10" s="559"/>
      <c r="CR10" s="559"/>
      <c r="CS10" s="560"/>
      <c r="CT10" s="560"/>
      <c r="CU10" s="560"/>
      <c r="CV10" s="560"/>
      <c r="CW10" s="560"/>
      <c r="CX10" s="560"/>
      <c r="CY10" s="560"/>
      <c r="CZ10" s="560"/>
      <c r="DA10" s="560"/>
      <c r="DB10" s="561"/>
      <c r="DC10" s="243"/>
      <c r="DD10" s="243"/>
      <c r="DE10" s="243"/>
      <c r="DF10" s="243"/>
      <c r="DG10" s="243"/>
      <c r="DH10" s="243"/>
      <c r="DI10" s="243"/>
      <c r="DJ10" s="243"/>
      <c r="DK10" s="243"/>
      <c r="DL10" s="243"/>
      <c r="DM10" s="243"/>
      <c r="DN10" s="243"/>
      <c r="DO10" s="243"/>
    </row>
    <row r="11" spans="1:119" s="6" customFormat="1" ht="11.85" customHeight="1">
      <c r="A11" s="1376"/>
      <c r="B11" s="1376"/>
      <c r="C11" s="1376"/>
      <c r="D11" s="1376"/>
      <c r="E11" s="413">
        <f>ZRB!G4</f>
        <v>1</v>
      </c>
      <c r="F11" s="524"/>
      <c r="G11" s="1393" t="s">
        <v>345</v>
      </c>
      <c r="H11" s="1394"/>
      <c r="I11" s="1394"/>
      <c r="J11" s="1394"/>
      <c r="K11" s="1395" t="str">
        <f ca="1">IF(E9=1,"Bitte neue Version laden !!",IF(AND(E23&gt;=97,P13&gt;750),"Ausschreibungsanlage - keine Berechnung",IF(P13&gt;E17,"keine Berechnung !","")))</f>
        <v/>
      </c>
      <c r="L11" s="1395"/>
      <c r="M11" s="1395"/>
      <c r="N11" s="1395"/>
      <c r="O11" s="1395"/>
      <c r="P11" s="1395"/>
      <c r="Q11" s="1395"/>
      <c r="R11" s="1395"/>
      <c r="S11" s="1396"/>
      <c r="T11" s="526"/>
      <c r="U11" s="255"/>
      <c r="V11" s="1265" t="s">
        <v>292</v>
      </c>
      <c r="W11" s="1266"/>
      <c r="X11" s="1266"/>
      <c r="Y11" s="1266"/>
      <c r="Z11" s="1266"/>
      <c r="AA11" s="1266"/>
      <c r="AB11" s="1266"/>
      <c r="AC11" s="1266"/>
      <c r="AD11" s="1266"/>
      <c r="AE11" s="1266"/>
      <c r="AF11" s="1266"/>
      <c r="AG11" s="1266"/>
      <c r="AH11" s="1266"/>
      <c r="AI11" s="1266"/>
      <c r="AJ11" s="1266"/>
      <c r="AK11" s="1267"/>
      <c r="AL11" s="243"/>
      <c r="AM11" s="243"/>
      <c r="AN11" s="413">
        <f>ZRB!G5</f>
        <v>1</v>
      </c>
      <c r="AO11" s="1281" t="s">
        <v>301</v>
      </c>
      <c r="AP11" s="1282"/>
      <c r="AQ11" s="1282"/>
      <c r="AR11" s="1282"/>
      <c r="AS11" s="1282"/>
      <c r="AT11" s="1282"/>
      <c r="AU11" s="1283" t="str">
        <f>IF(ZRB!G6&lt;=0,"",ROUND(ZRB!G57/ZRB!G6,0))</f>
        <v/>
      </c>
      <c r="AV11" s="1283"/>
      <c r="AW11" s="1283"/>
      <c r="AX11" s="1260">
        <f>ROUND(ZRB!G57,0)</f>
        <v>0</v>
      </c>
      <c r="AY11" s="1260"/>
      <c r="AZ11" s="1260"/>
      <c r="BA11" s="278"/>
      <c r="BB11" s="243"/>
      <c r="BC11" s="243"/>
      <c r="BD11" s="243"/>
      <c r="BE11" s="1265" t="s">
        <v>267</v>
      </c>
      <c r="BF11" s="1266"/>
      <c r="BG11" s="1266"/>
      <c r="BH11" s="1266"/>
      <c r="BI11" s="1266"/>
      <c r="BJ11" s="1266"/>
      <c r="BK11" s="1266"/>
      <c r="BL11" s="1266"/>
      <c r="BM11" s="1266"/>
      <c r="BN11" s="1266"/>
      <c r="BO11" s="1266"/>
      <c r="BP11" s="1266"/>
      <c r="BQ11" s="1266"/>
      <c r="BR11" s="1267"/>
      <c r="BS11" s="243"/>
      <c r="BT11" s="256"/>
      <c r="BU11" s="801"/>
      <c r="BV11" s="1241" t="s">
        <v>546</v>
      </c>
      <c r="BW11" s="1242"/>
      <c r="BX11" s="1242"/>
      <c r="BY11" s="1242"/>
      <c r="BZ11" s="1242"/>
      <c r="CA11" s="1242"/>
      <c r="CB11" s="1242"/>
      <c r="CC11" s="1242"/>
      <c r="CD11" s="1242"/>
      <c r="CE11" s="1242"/>
      <c r="CF11" s="1242"/>
      <c r="CG11" s="1242"/>
      <c r="CH11" s="1242"/>
      <c r="CI11" s="1277"/>
      <c r="CJ11" s="256"/>
      <c r="CK11" s="243"/>
      <c r="CL11" s="243"/>
      <c r="CM11" s="1241" t="s">
        <v>324</v>
      </c>
      <c r="CN11" s="1242"/>
      <c r="CO11" s="1242"/>
      <c r="CP11" s="1242"/>
      <c r="CQ11" s="1242"/>
      <c r="CR11" s="1242"/>
      <c r="CS11" s="1242"/>
      <c r="CT11" s="1242"/>
      <c r="CU11" s="1242"/>
      <c r="CV11" s="1240" t="str">
        <f>IF($AN$13=1,"","("&amp;ROUND(ZRB!I31*100,2)&amp;"%; "&amp;ROUND(ZRB!G31,0)&amp;" kWh)")</f>
        <v>(0%; 0 kWh)</v>
      </c>
      <c r="CW11" s="1240"/>
      <c r="CX11" s="1240"/>
      <c r="CY11" s="1239" t="str">
        <f>IF($AN$13=1,"",IF($AN$11=1,"",ZRB!G87))</f>
        <v/>
      </c>
      <c r="CZ11" s="1239"/>
      <c r="DA11" s="1239"/>
      <c r="DB11" s="562"/>
      <c r="DC11" s="243"/>
      <c r="DD11" s="243"/>
      <c r="DE11" s="243"/>
      <c r="DF11" s="243"/>
      <c r="DG11" s="243"/>
      <c r="DH11" s="243"/>
      <c r="DI11" s="243"/>
      <c r="DJ11" s="243"/>
      <c r="DK11" s="243"/>
      <c r="DL11" s="243"/>
      <c r="DM11" s="243"/>
      <c r="DN11" s="243"/>
      <c r="DO11" s="243"/>
    </row>
    <row r="12" spans="1:119" s="6" customFormat="1" ht="2.4500000000000002" customHeight="1">
      <c r="A12" s="1376"/>
      <c r="B12" s="1376"/>
      <c r="C12" s="1376"/>
      <c r="D12" s="1376"/>
      <c r="E12" s="247"/>
      <c r="F12" s="524"/>
      <c r="G12" s="911"/>
      <c r="H12" s="520"/>
      <c r="I12" s="520"/>
      <c r="J12" s="520"/>
      <c r="K12" s="520"/>
      <c r="L12" s="520"/>
      <c r="M12" s="520"/>
      <c r="N12" s="520"/>
      <c r="O12" s="521"/>
      <c r="P12" s="521"/>
      <c r="Q12" s="521"/>
      <c r="R12" s="521"/>
      <c r="S12" s="522"/>
      <c r="T12" s="526"/>
      <c r="U12" s="255"/>
      <c r="V12" s="1265"/>
      <c r="W12" s="1266"/>
      <c r="X12" s="1266"/>
      <c r="Y12" s="1266"/>
      <c r="Z12" s="1266"/>
      <c r="AA12" s="1266"/>
      <c r="AB12" s="1266"/>
      <c r="AC12" s="1266"/>
      <c r="AD12" s="1266"/>
      <c r="AE12" s="1266"/>
      <c r="AF12" s="1266"/>
      <c r="AG12" s="1266"/>
      <c r="AH12" s="1266"/>
      <c r="AI12" s="1266"/>
      <c r="AJ12" s="1266"/>
      <c r="AK12" s="1267"/>
      <c r="AL12" s="243"/>
      <c r="AM12" s="243"/>
      <c r="AN12" s="327"/>
      <c r="AO12" s="1281"/>
      <c r="AP12" s="1282"/>
      <c r="AQ12" s="1282"/>
      <c r="AR12" s="1282"/>
      <c r="AS12" s="1282"/>
      <c r="AT12" s="1282"/>
      <c r="AU12" s="1283"/>
      <c r="AV12" s="1283"/>
      <c r="AW12" s="1283"/>
      <c r="AX12" s="1260"/>
      <c r="AY12" s="1260"/>
      <c r="AZ12" s="1260"/>
      <c r="BA12" s="278"/>
      <c r="BB12" s="243"/>
      <c r="BC12" s="243"/>
      <c r="BD12" s="243"/>
      <c r="BE12" s="1265"/>
      <c r="BF12" s="1266"/>
      <c r="BG12" s="1266"/>
      <c r="BH12" s="1266"/>
      <c r="BI12" s="1266"/>
      <c r="BJ12" s="1266"/>
      <c r="BK12" s="1266"/>
      <c r="BL12" s="1266"/>
      <c r="BM12" s="1266"/>
      <c r="BN12" s="1266"/>
      <c r="BO12" s="1266"/>
      <c r="BP12" s="1266"/>
      <c r="BQ12" s="1266"/>
      <c r="BR12" s="1267"/>
      <c r="BS12" s="243"/>
      <c r="BT12" s="256"/>
      <c r="BU12" s="801"/>
      <c r="BV12" s="1241"/>
      <c r="BW12" s="1242"/>
      <c r="BX12" s="1242"/>
      <c r="BY12" s="1242"/>
      <c r="BZ12" s="1242"/>
      <c r="CA12" s="1242"/>
      <c r="CB12" s="1242"/>
      <c r="CC12" s="1242"/>
      <c r="CD12" s="1242"/>
      <c r="CE12" s="1242"/>
      <c r="CF12" s="1242"/>
      <c r="CG12" s="1242"/>
      <c r="CH12" s="1242"/>
      <c r="CI12" s="1277"/>
      <c r="CJ12" s="256"/>
      <c r="CK12" s="243"/>
      <c r="CL12" s="243"/>
      <c r="CM12" s="1241"/>
      <c r="CN12" s="1242"/>
      <c r="CO12" s="1242"/>
      <c r="CP12" s="1242"/>
      <c r="CQ12" s="1242"/>
      <c r="CR12" s="1242"/>
      <c r="CS12" s="1242"/>
      <c r="CT12" s="1242"/>
      <c r="CU12" s="1242"/>
      <c r="CV12" s="1240"/>
      <c r="CW12" s="1240"/>
      <c r="CX12" s="1240"/>
      <c r="CY12" s="1239"/>
      <c r="CZ12" s="1239"/>
      <c r="DA12" s="1239"/>
      <c r="DB12" s="562"/>
      <c r="DC12" s="243"/>
      <c r="DD12" s="243"/>
      <c r="DE12" s="243"/>
      <c r="DF12" s="243"/>
      <c r="DG12" s="243"/>
      <c r="DH12" s="243"/>
      <c r="DI12" s="243"/>
      <c r="DJ12" s="243"/>
      <c r="DK12" s="243"/>
      <c r="DL12" s="243"/>
      <c r="DM12" s="243"/>
      <c r="DN12" s="243"/>
      <c r="DO12" s="243"/>
    </row>
    <row r="13" spans="1:119" s="6" customFormat="1" ht="11.85" customHeight="1">
      <c r="A13" s="1376"/>
      <c r="B13" s="1376"/>
      <c r="C13" s="1376"/>
      <c r="D13" s="1376"/>
      <c r="E13" s="247">
        <f>ZRB!G6</f>
        <v>0</v>
      </c>
      <c r="F13" s="645"/>
      <c r="G13" s="392"/>
      <c r="H13" s="1386" t="s">
        <v>53</v>
      </c>
      <c r="I13" s="1386"/>
      <c r="J13" s="1386"/>
      <c r="K13" s="1386"/>
      <c r="L13" s="504"/>
      <c r="M13" s="237"/>
      <c r="N13" s="237"/>
      <c r="O13" s="259" t="str">
        <f>IF(ZRB!G6&lt;0,"negative Leistungsangabe unzulässig !  ","")</f>
        <v/>
      </c>
      <c r="P13" s="1392"/>
      <c r="Q13" s="1392"/>
      <c r="R13" s="1392"/>
      <c r="S13" s="264"/>
      <c r="T13" s="526"/>
      <c r="U13" s="255"/>
      <c r="V13" s="1265"/>
      <c r="W13" s="1266"/>
      <c r="X13" s="1266"/>
      <c r="Y13" s="1266"/>
      <c r="Z13" s="1266"/>
      <c r="AA13" s="1266"/>
      <c r="AB13" s="1266"/>
      <c r="AC13" s="1266"/>
      <c r="AD13" s="1266"/>
      <c r="AE13" s="1266"/>
      <c r="AF13" s="1266"/>
      <c r="AG13" s="1266"/>
      <c r="AH13" s="1266"/>
      <c r="AI13" s="1266"/>
      <c r="AJ13" s="1266"/>
      <c r="AK13" s="1267"/>
      <c r="AL13" s="243"/>
      <c r="AM13" s="243"/>
      <c r="AN13" s="1126">
        <f>Grafik_Kosten!E12</f>
        <v>0</v>
      </c>
      <c r="AO13" s="1281"/>
      <c r="AP13" s="1282"/>
      <c r="AQ13" s="1282"/>
      <c r="AR13" s="1282"/>
      <c r="AS13" s="1282"/>
      <c r="AT13" s="1282"/>
      <c r="AU13" s="1283"/>
      <c r="AV13" s="1283"/>
      <c r="AW13" s="1283"/>
      <c r="AX13" s="1260"/>
      <c r="AY13" s="1260"/>
      <c r="AZ13" s="1260"/>
      <c r="BA13" s="278"/>
      <c r="BB13" s="243"/>
      <c r="BC13" s="243"/>
      <c r="BD13" s="243"/>
      <c r="BE13" s="1265"/>
      <c r="BF13" s="1266"/>
      <c r="BG13" s="1266"/>
      <c r="BH13" s="1266"/>
      <c r="BI13" s="1266"/>
      <c r="BJ13" s="1266"/>
      <c r="BK13" s="1266"/>
      <c r="BL13" s="1266"/>
      <c r="BM13" s="1266"/>
      <c r="BN13" s="1266"/>
      <c r="BO13" s="1266"/>
      <c r="BP13" s="1266"/>
      <c r="BQ13" s="1266"/>
      <c r="BR13" s="1267"/>
      <c r="BS13" s="243"/>
      <c r="BT13" s="256"/>
      <c r="BU13" s="801"/>
      <c r="BV13" s="1241"/>
      <c r="BW13" s="1242"/>
      <c r="BX13" s="1242"/>
      <c r="BY13" s="1242"/>
      <c r="BZ13" s="1242"/>
      <c r="CA13" s="1242"/>
      <c r="CB13" s="1242"/>
      <c r="CC13" s="1242"/>
      <c r="CD13" s="1242"/>
      <c r="CE13" s="1242"/>
      <c r="CF13" s="1242"/>
      <c r="CG13" s="1242"/>
      <c r="CH13" s="1242"/>
      <c r="CI13" s="1277"/>
      <c r="CJ13" s="256"/>
      <c r="CK13" s="243"/>
      <c r="CL13" s="243"/>
      <c r="CM13" s="1241"/>
      <c r="CN13" s="1242"/>
      <c r="CO13" s="1242"/>
      <c r="CP13" s="1242"/>
      <c r="CQ13" s="1242"/>
      <c r="CR13" s="1242"/>
      <c r="CS13" s="1242"/>
      <c r="CT13" s="1242"/>
      <c r="CU13" s="1242"/>
      <c r="CV13" s="1240"/>
      <c r="CW13" s="1240"/>
      <c r="CX13" s="1240"/>
      <c r="CY13" s="1239"/>
      <c r="CZ13" s="1239"/>
      <c r="DA13" s="1239"/>
      <c r="DB13" s="562"/>
      <c r="DC13" s="243"/>
      <c r="DD13" s="243"/>
      <c r="DE13" s="243"/>
      <c r="DF13" s="243"/>
      <c r="DG13" s="243"/>
      <c r="DH13" s="243"/>
      <c r="DI13" s="243"/>
      <c r="DJ13" s="243"/>
      <c r="DK13" s="243"/>
      <c r="DL13" s="243"/>
      <c r="DM13" s="243"/>
      <c r="DN13" s="243"/>
      <c r="DO13" s="243"/>
    </row>
    <row r="14" spans="1:119" s="6" customFormat="1" ht="2.85" customHeight="1">
      <c r="A14" s="849"/>
      <c r="B14" s="849"/>
      <c r="C14" s="849"/>
      <c r="D14" s="849"/>
      <c r="E14" s="247"/>
      <c r="F14" s="645"/>
      <c r="G14" s="392"/>
      <c r="H14" s="1386"/>
      <c r="I14" s="1386"/>
      <c r="J14" s="1386"/>
      <c r="K14" s="1386"/>
      <c r="L14" s="504"/>
      <c r="M14" s="237"/>
      <c r="N14" s="237"/>
      <c r="O14" s="259"/>
      <c r="P14" s="259"/>
      <c r="Q14" s="259"/>
      <c r="R14" s="259"/>
      <c r="S14" s="264"/>
      <c r="T14" s="526"/>
      <c r="U14" s="255"/>
      <c r="V14" s="488"/>
      <c r="W14" s="361"/>
      <c r="X14" s="361"/>
      <c r="Y14" s="361"/>
      <c r="Z14" s="361"/>
      <c r="AA14" s="361"/>
      <c r="AB14" s="361"/>
      <c r="AC14" s="361"/>
      <c r="AD14" s="361"/>
      <c r="AE14" s="361"/>
      <c r="AF14" s="361"/>
      <c r="AG14" s="361"/>
      <c r="AH14" s="361"/>
      <c r="AI14" s="361"/>
      <c r="AJ14" s="361"/>
      <c r="AK14" s="489"/>
      <c r="AL14" s="243"/>
      <c r="AM14" s="243"/>
      <c r="AN14" s="327"/>
      <c r="AO14" s="391"/>
      <c r="AP14" s="1268" t="s">
        <v>196</v>
      </c>
      <c r="AQ14" s="1268"/>
      <c r="AR14" s="1268"/>
      <c r="AS14" s="1268"/>
      <c r="AT14" s="1268"/>
      <c r="AU14" s="1268"/>
      <c r="AV14" s="1269" t="str">
        <f>IF(ZRB!G6&lt;=0,"keine Anlage erfasst !!",ROUND(ZRB!G42,0))</f>
        <v>keine Anlage erfasst !!</v>
      </c>
      <c r="AW14" s="1269"/>
      <c r="AX14" s="1269"/>
      <c r="AY14" s="1257">
        <f>ZRB!G41</f>
        <v>0</v>
      </c>
      <c r="AZ14" s="1257"/>
      <c r="BA14" s="435"/>
      <c r="BB14" s="243"/>
      <c r="BC14" s="243"/>
      <c r="BD14" s="243"/>
      <c r="BE14" s="850"/>
      <c r="BF14" s="851"/>
      <c r="BG14" s="851"/>
      <c r="BH14" s="851"/>
      <c r="BI14" s="851"/>
      <c r="BJ14" s="851"/>
      <c r="BK14" s="851"/>
      <c r="BL14" s="851"/>
      <c r="BM14" s="851"/>
      <c r="BN14" s="851"/>
      <c r="BO14" s="851"/>
      <c r="BP14" s="851"/>
      <c r="BQ14" s="851"/>
      <c r="BR14" s="852"/>
      <c r="BS14" s="243"/>
      <c r="BT14" s="256"/>
      <c r="BU14" s="801"/>
      <c r="BV14" s="845"/>
      <c r="BW14" s="846"/>
      <c r="BX14" s="846"/>
      <c r="BY14" s="846"/>
      <c r="BZ14" s="846"/>
      <c r="CA14" s="846"/>
      <c r="CB14" s="846"/>
      <c r="CC14" s="846"/>
      <c r="CD14" s="846"/>
      <c r="CE14" s="846"/>
      <c r="CF14" s="846"/>
      <c r="CG14" s="846"/>
      <c r="CH14" s="846"/>
      <c r="CI14" s="847"/>
      <c r="CJ14" s="256"/>
      <c r="CK14" s="243"/>
      <c r="CL14" s="243"/>
      <c r="CM14" s="845"/>
      <c r="CN14" s="846"/>
      <c r="CO14" s="846"/>
      <c r="CP14" s="846"/>
      <c r="CQ14" s="846"/>
      <c r="CR14" s="846"/>
      <c r="CS14" s="846"/>
      <c r="CT14" s="846"/>
      <c r="CU14" s="846"/>
      <c r="CV14" s="853"/>
      <c r="CW14" s="853"/>
      <c r="CX14" s="853"/>
      <c r="CY14" s="848"/>
      <c r="CZ14" s="848"/>
      <c r="DA14" s="848"/>
      <c r="DB14" s="562"/>
      <c r="DC14" s="243"/>
      <c r="DD14" s="243"/>
      <c r="DE14" s="243"/>
      <c r="DF14" s="243"/>
      <c r="DG14" s="243"/>
      <c r="DH14" s="243"/>
      <c r="DI14" s="243"/>
      <c r="DJ14" s="243"/>
      <c r="DK14" s="243"/>
      <c r="DL14" s="243"/>
      <c r="DM14" s="243"/>
      <c r="DN14" s="243"/>
      <c r="DO14" s="243"/>
    </row>
    <row r="15" spans="1:119" s="6" customFormat="1" ht="11.85" customHeight="1">
      <c r="A15" s="849"/>
      <c r="B15" s="849"/>
      <c r="C15" s="849"/>
      <c r="D15" s="849"/>
      <c r="E15" s="247">
        <v>1</v>
      </c>
      <c r="F15" s="645"/>
      <c r="G15" s="392"/>
      <c r="H15" s="1427" t="s">
        <v>734</v>
      </c>
      <c r="I15" s="1427"/>
      <c r="J15" s="1427"/>
      <c r="K15" s="1256" t="str">
        <f>""&amp;VLOOKUP($E$15,$G$124:$H$125,2,FALSE)&amp;" (max. "&amp;E17&amp;" kWp)"</f>
        <v>Einspeisevergütungs - Anlage (max. 100 kWp)</v>
      </c>
      <c r="L15" s="1256"/>
      <c r="M15" s="1256"/>
      <c r="N15" s="1256"/>
      <c r="O15" s="1256"/>
      <c r="P15" s="1256"/>
      <c r="Q15" s="1256"/>
      <c r="R15" s="1256"/>
      <c r="S15" s="264"/>
      <c r="T15" s="526"/>
      <c r="U15" s="255"/>
      <c r="V15" s="383"/>
      <c r="W15" s="1279" t="str">
        <f>IF(E11=1,"","Durchschnittlicher Tagesertrag einer "&amp;ROUND(ZRB!G6,1)&amp;" kWp-Anlage  ( in kWh/Tag)")</f>
        <v/>
      </c>
      <c r="X15" s="1279"/>
      <c r="Y15" s="1279"/>
      <c r="Z15" s="1279"/>
      <c r="AA15" s="1279"/>
      <c r="AB15" s="1279"/>
      <c r="AC15" s="1279"/>
      <c r="AD15" s="1279"/>
      <c r="AE15" s="1279"/>
      <c r="AF15" s="1279"/>
      <c r="AG15" s="1279"/>
      <c r="AH15" s="1279"/>
      <c r="AI15" s="1279"/>
      <c r="AJ15" s="1279"/>
      <c r="AK15" s="1280"/>
      <c r="AL15" s="243"/>
      <c r="AM15" s="243"/>
      <c r="AN15" s="1127">
        <f>Grafik_Kosten!E13</f>
        <v>300</v>
      </c>
      <c r="AO15" s="391"/>
      <c r="AP15" s="1268"/>
      <c r="AQ15" s="1268"/>
      <c r="AR15" s="1268"/>
      <c r="AS15" s="1268"/>
      <c r="AT15" s="1268"/>
      <c r="AU15" s="1268"/>
      <c r="AV15" s="1269"/>
      <c r="AW15" s="1269"/>
      <c r="AX15" s="1269"/>
      <c r="AY15" s="1257"/>
      <c r="AZ15" s="1257"/>
      <c r="BA15" s="435"/>
      <c r="BB15" s="243"/>
      <c r="BC15" s="243"/>
      <c r="BD15" s="243"/>
      <c r="BE15" s="850"/>
      <c r="BF15" s="851"/>
      <c r="BG15" s="851"/>
      <c r="BH15" s="851"/>
      <c r="BI15" s="851"/>
      <c r="BJ15" s="851"/>
      <c r="BK15" s="851"/>
      <c r="BL15" s="851"/>
      <c r="BM15" s="851"/>
      <c r="BN15" s="851"/>
      <c r="BO15" s="851"/>
      <c r="BP15" s="851"/>
      <c r="BQ15" s="851"/>
      <c r="BR15" s="852"/>
      <c r="BS15" s="243"/>
      <c r="BT15" s="256"/>
      <c r="BU15" s="801"/>
      <c r="BV15" s="845"/>
      <c r="BW15" s="846"/>
      <c r="BX15" s="846"/>
      <c r="BY15" s="846"/>
      <c r="BZ15" s="846"/>
      <c r="CA15" s="846"/>
      <c r="CB15" s="846"/>
      <c r="CC15" s="846"/>
      <c r="CD15" s="846"/>
      <c r="CE15" s="846"/>
      <c r="CF15" s="846"/>
      <c r="CG15" s="846"/>
      <c r="CH15" s="846"/>
      <c r="CI15" s="847"/>
      <c r="CJ15" s="256"/>
      <c r="CK15" s="243"/>
      <c r="CL15" s="243"/>
      <c r="CM15" s="845"/>
      <c r="CN15" s="846"/>
      <c r="CO15" s="846"/>
      <c r="CP15" s="846"/>
      <c r="CQ15" s="846"/>
      <c r="CR15" s="846"/>
      <c r="CS15" s="846"/>
      <c r="CT15" s="846"/>
      <c r="CU15" s="846"/>
      <c r="CV15" s="853"/>
      <c r="CW15" s="853"/>
      <c r="CX15" s="853"/>
      <c r="CY15" s="848"/>
      <c r="CZ15" s="848"/>
      <c r="DA15" s="848"/>
      <c r="DB15" s="562"/>
      <c r="DC15" s="243"/>
      <c r="DD15" s="243"/>
      <c r="DE15" s="243"/>
      <c r="DF15" s="243"/>
      <c r="DG15" s="243"/>
      <c r="DH15" s="243"/>
      <c r="DI15" s="243"/>
      <c r="DJ15" s="243"/>
      <c r="DK15" s="243"/>
      <c r="DL15" s="243"/>
      <c r="DM15" s="243"/>
      <c r="DN15" s="243"/>
      <c r="DO15" s="243"/>
    </row>
    <row r="16" spans="1:119" s="6" customFormat="1" ht="2.85" customHeight="1">
      <c r="A16" s="576"/>
      <c r="B16" s="576"/>
      <c r="C16" s="576"/>
      <c r="D16" s="576"/>
      <c r="E16" s="247"/>
      <c r="F16" s="645"/>
      <c r="G16" s="392"/>
      <c r="H16" s="1427"/>
      <c r="I16" s="1427"/>
      <c r="J16" s="1427"/>
      <c r="K16" s="232"/>
      <c r="L16" s="504"/>
      <c r="M16" s="237"/>
      <c r="N16" s="237"/>
      <c r="O16" s="235"/>
      <c r="P16" s="238"/>
      <c r="Q16" s="252"/>
      <c r="R16" s="252"/>
      <c r="S16" s="264"/>
      <c r="T16" s="526"/>
      <c r="U16" s="255"/>
      <c r="V16" s="383"/>
      <c r="W16" s="1279"/>
      <c r="X16" s="1279"/>
      <c r="Y16" s="1279"/>
      <c r="Z16" s="1279"/>
      <c r="AA16" s="1279"/>
      <c r="AB16" s="1279"/>
      <c r="AC16" s="1279"/>
      <c r="AD16" s="1279"/>
      <c r="AE16" s="1279"/>
      <c r="AF16" s="1279"/>
      <c r="AG16" s="1279"/>
      <c r="AH16" s="1279"/>
      <c r="AI16" s="1279"/>
      <c r="AJ16" s="1279"/>
      <c r="AK16" s="1280"/>
      <c r="AL16" s="243"/>
      <c r="AM16" s="243"/>
      <c r="AN16" s="327"/>
      <c r="AO16" s="391"/>
      <c r="AP16" s="1268"/>
      <c r="AQ16" s="1268"/>
      <c r="AR16" s="1268"/>
      <c r="AS16" s="1268"/>
      <c r="AT16" s="1268"/>
      <c r="AU16" s="1268"/>
      <c r="AV16" s="1269"/>
      <c r="AW16" s="1269"/>
      <c r="AX16" s="1269"/>
      <c r="AY16" s="1257"/>
      <c r="AZ16" s="1257"/>
      <c r="BA16" s="435"/>
      <c r="BB16" s="243"/>
      <c r="BC16" s="243"/>
      <c r="BD16" s="243"/>
      <c r="BE16" s="547"/>
      <c r="BF16" s="548"/>
      <c r="BG16" s="548"/>
      <c r="BH16" s="548"/>
      <c r="BI16" s="548"/>
      <c r="BJ16" s="548"/>
      <c r="BK16" s="548"/>
      <c r="BL16" s="548"/>
      <c r="BM16" s="548"/>
      <c r="BN16" s="548"/>
      <c r="BO16" s="548"/>
      <c r="BP16" s="548"/>
      <c r="BQ16" s="548"/>
      <c r="BR16" s="549"/>
      <c r="BS16" s="243"/>
      <c r="BT16" s="256"/>
      <c r="BU16" s="801"/>
      <c r="BV16" s="803"/>
      <c r="BW16" s="256"/>
      <c r="BX16" s="256"/>
      <c r="BY16" s="256"/>
      <c r="BZ16" s="256"/>
      <c r="CA16" s="256"/>
      <c r="CB16" s="256"/>
      <c r="CC16" s="256"/>
      <c r="CD16" s="256"/>
      <c r="CE16" s="256"/>
      <c r="CF16" s="256"/>
      <c r="CG16" s="256"/>
      <c r="CH16" s="256"/>
      <c r="CI16" s="804"/>
      <c r="CJ16" s="256"/>
      <c r="CK16" s="243"/>
      <c r="CL16" s="243"/>
      <c r="CM16" s="563"/>
      <c r="CN16" s="371"/>
      <c r="CO16" s="1418" t="s">
        <v>305</v>
      </c>
      <c r="CP16" s="1418"/>
      <c r="CQ16" s="1418"/>
      <c r="CR16" s="1418"/>
      <c r="CS16" s="1418"/>
      <c r="CT16" s="1418"/>
      <c r="CU16" s="1418"/>
      <c r="CV16" s="1418"/>
      <c r="CW16" s="1418"/>
      <c r="CX16" s="1418"/>
      <c r="CY16" s="1406" t="str">
        <f>IF(AN11=1,"",ZRB!G80)</f>
        <v/>
      </c>
      <c r="CZ16" s="1406"/>
      <c r="DA16" s="1406"/>
      <c r="DB16" s="564"/>
      <c r="DC16" s="243"/>
      <c r="DD16" s="243"/>
      <c r="DE16" s="243"/>
      <c r="DF16" s="243"/>
      <c r="DG16" s="243"/>
      <c r="DH16" s="243"/>
      <c r="DI16" s="243"/>
      <c r="DJ16" s="243"/>
      <c r="DK16" s="243"/>
      <c r="DL16" s="243"/>
      <c r="DM16" s="243"/>
      <c r="DN16" s="243"/>
      <c r="DO16" s="243"/>
    </row>
    <row r="17" spans="1:119" s="6" customFormat="1" ht="11.85" customHeight="1">
      <c r="A17" s="576"/>
      <c r="B17" s="576"/>
      <c r="C17" s="576"/>
      <c r="D17" s="576"/>
      <c r="E17" s="328">
        <f>IF(ZRB!G9&gt;0,ZRB!G9,1000000000)</f>
        <v>100</v>
      </c>
      <c r="F17" s="645"/>
      <c r="G17" s="392"/>
      <c r="H17" s="1386" t="s">
        <v>162</v>
      </c>
      <c r="I17" s="1386"/>
      <c r="J17" s="1386"/>
      <c r="K17" s="1386"/>
      <c r="L17" s="513"/>
      <c r="M17" s="241"/>
      <c r="N17" s="250" t="s">
        <v>293</v>
      </c>
      <c r="O17" s="235"/>
      <c r="P17" s="1389" t="str">
        <f>ZRB!G10</f>
        <v>Dachanlage</v>
      </c>
      <c r="Q17" s="1390"/>
      <c r="R17" s="1391"/>
      <c r="S17" s="264"/>
      <c r="T17" s="525"/>
      <c r="U17" s="257"/>
      <c r="V17" s="1366" t="s">
        <v>260</v>
      </c>
      <c r="W17" s="1367"/>
      <c r="X17" s="1367"/>
      <c r="Y17" s="1367"/>
      <c r="Z17" s="1365" t="str">
        <f>IF(E11=1,"","(Orientierungswerte)")</f>
        <v/>
      </c>
      <c r="AA17" s="1365"/>
      <c r="AB17" s="1365"/>
      <c r="AC17" s="1365"/>
      <c r="AD17" s="1365"/>
      <c r="AE17" s="1365"/>
      <c r="AF17" s="1365"/>
      <c r="AG17" s="1365"/>
      <c r="AH17" s="1365"/>
      <c r="AI17" s="1365"/>
      <c r="AJ17" s="298"/>
      <c r="AK17" s="359"/>
      <c r="AL17" s="243"/>
      <c r="AM17" s="243"/>
      <c r="AN17" s="327"/>
      <c r="AO17" s="391"/>
      <c r="AP17" s="233" t="s">
        <v>306</v>
      </c>
      <c r="AQ17" s="233"/>
      <c r="AR17" s="234"/>
      <c r="AS17" s="249"/>
      <c r="AT17" s="235"/>
      <c r="AU17" s="235"/>
      <c r="AV17" s="235"/>
      <c r="AW17" s="235"/>
      <c r="AX17" s="250" t="s">
        <v>52</v>
      </c>
      <c r="AY17" s="1255"/>
      <c r="AZ17" s="1255"/>
      <c r="BA17" s="433"/>
      <c r="BB17" s="243"/>
      <c r="BC17" s="243"/>
      <c r="BD17" s="243"/>
      <c r="BE17" s="547"/>
      <c r="BF17" s="548"/>
      <c r="BG17" s="548"/>
      <c r="BH17" s="548"/>
      <c r="BI17" s="548"/>
      <c r="BJ17" s="548"/>
      <c r="BK17" s="548"/>
      <c r="BL17" s="548"/>
      <c r="BM17" s="548"/>
      <c r="BN17" s="548"/>
      <c r="BO17" s="548"/>
      <c r="BP17" s="548"/>
      <c r="BQ17" s="548"/>
      <c r="BR17" s="549"/>
      <c r="BS17" s="243"/>
      <c r="BT17" s="256"/>
      <c r="BU17" s="1118">
        <f>ZRB!F107</f>
        <v>30</v>
      </c>
      <c r="BV17" s="807"/>
      <c r="BW17" s="243"/>
      <c r="BX17" s="243"/>
      <c r="BY17" s="243"/>
      <c r="BZ17" s="243"/>
      <c r="CA17" s="243"/>
      <c r="CB17" s="243"/>
      <c r="CC17" s="243"/>
      <c r="CD17" s="243"/>
      <c r="CE17" s="243"/>
      <c r="CF17" s="243"/>
      <c r="CG17" s="243"/>
      <c r="CH17" s="243"/>
      <c r="CI17" s="806"/>
      <c r="CJ17" s="256"/>
      <c r="CK17" s="243"/>
      <c r="CL17" s="243"/>
      <c r="CM17" s="423"/>
      <c r="CN17" s="371"/>
      <c r="CO17" s="1418"/>
      <c r="CP17" s="1418"/>
      <c r="CQ17" s="1418"/>
      <c r="CR17" s="1418"/>
      <c r="CS17" s="1418"/>
      <c r="CT17" s="1418"/>
      <c r="CU17" s="1418"/>
      <c r="CV17" s="1418"/>
      <c r="CW17" s="1418"/>
      <c r="CX17" s="1418"/>
      <c r="CY17" s="1406"/>
      <c r="CZ17" s="1406"/>
      <c r="DA17" s="1406"/>
      <c r="DB17" s="424"/>
      <c r="DC17" s="243"/>
      <c r="DD17" s="243"/>
      <c r="DE17" s="243"/>
      <c r="DF17" s="243"/>
      <c r="DG17" s="243"/>
      <c r="DH17" s="243"/>
      <c r="DI17" s="243"/>
      <c r="DJ17" s="243"/>
      <c r="DK17" s="243"/>
      <c r="DL17" s="243"/>
      <c r="DM17" s="243"/>
      <c r="DN17" s="243"/>
      <c r="DO17" s="243"/>
    </row>
    <row r="18" spans="1:119" s="6" customFormat="1" ht="2.4500000000000002" customHeight="1">
      <c r="A18" s="475"/>
      <c r="B18" s="477"/>
      <c r="C18" s="476"/>
      <c r="D18" s="475"/>
      <c r="E18" s="247"/>
      <c r="F18" s="645"/>
      <c r="G18" s="392"/>
      <c r="H18" s="1386"/>
      <c r="I18" s="1386"/>
      <c r="J18" s="1386"/>
      <c r="K18" s="1386"/>
      <c r="L18" s="513"/>
      <c r="M18" s="241"/>
      <c r="N18" s="240"/>
      <c r="O18" s="235"/>
      <c r="P18" s="252"/>
      <c r="Q18" s="252"/>
      <c r="R18" s="252"/>
      <c r="S18" s="264"/>
      <c r="T18" s="525"/>
      <c r="U18" s="257"/>
      <c r="V18" s="301"/>
      <c r="W18" s="400"/>
      <c r="X18" s="292"/>
      <c r="Y18" s="293"/>
      <c r="Z18" s="298"/>
      <c r="AA18" s="298"/>
      <c r="AB18" s="298"/>
      <c r="AC18" s="298"/>
      <c r="AD18" s="298"/>
      <c r="AE18" s="298"/>
      <c r="AF18" s="298"/>
      <c r="AG18" s="298"/>
      <c r="AH18" s="298"/>
      <c r="AI18" s="298"/>
      <c r="AJ18" s="298"/>
      <c r="AK18" s="359"/>
      <c r="AL18" s="243"/>
      <c r="AM18" s="243"/>
      <c r="AN18" s="327"/>
      <c r="AO18" s="391"/>
      <c r="AP18" s="233"/>
      <c r="AQ18" s="232"/>
      <c r="AR18" s="234"/>
      <c r="AS18" s="234"/>
      <c r="AT18" s="235"/>
      <c r="AU18" s="235"/>
      <c r="AV18" s="235"/>
      <c r="AW18" s="235"/>
      <c r="AX18" s="251"/>
      <c r="AY18" s="252"/>
      <c r="AZ18" s="252"/>
      <c r="BA18" s="409"/>
      <c r="BB18" s="243"/>
      <c r="BC18" s="243"/>
      <c r="BD18" s="243"/>
      <c r="BE18" s="1344" t="s">
        <v>267</v>
      </c>
      <c r="BF18" s="1345"/>
      <c r="BG18" s="1345"/>
      <c r="BH18" s="1345"/>
      <c r="BI18" s="1345"/>
      <c r="BJ18" s="1345"/>
      <c r="BK18" s="236"/>
      <c r="BL18" s="236"/>
      <c r="BM18" s="236"/>
      <c r="BN18" s="236"/>
      <c r="BO18" s="235"/>
      <c r="BP18" s="235"/>
      <c r="BQ18" s="235"/>
      <c r="BR18" s="329"/>
      <c r="BS18" s="243"/>
      <c r="BT18" s="256"/>
      <c r="BU18" s="801"/>
      <c r="BV18" s="805"/>
      <c r="BW18" s="243"/>
      <c r="BX18" s="243"/>
      <c r="BY18" s="243"/>
      <c r="BZ18" s="243"/>
      <c r="CA18" s="243"/>
      <c r="CB18" s="243"/>
      <c r="CC18" s="243"/>
      <c r="CD18" s="243"/>
      <c r="CE18" s="243"/>
      <c r="CF18" s="243"/>
      <c r="CG18" s="243"/>
      <c r="CH18" s="243"/>
      <c r="CI18" s="806"/>
      <c r="CJ18" s="256"/>
      <c r="CK18" s="243"/>
      <c r="CL18" s="243"/>
      <c r="CM18" s="423"/>
      <c r="CN18" s="371"/>
      <c r="CO18" s="1356" t="s">
        <v>328</v>
      </c>
      <c r="CP18" s="1356"/>
      <c r="CQ18" s="1356"/>
      <c r="CR18" s="1356"/>
      <c r="CS18" s="1356"/>
      <c r="CT18" s="1356"/>
      <c r="CU18" s="1356"/>
      <c r="CV18" s="1356"/>
      <c r="CW18" s="1356"/>
      <c r="CX18" s="1356"/>
      <c r="CY18" s="1406" t="str">
        <f>IF($AN$13=1,"",IF($AN$11=1,"",ZRB!G83*-1))</f>
        <v/>
      </c>
      <c r="CZ18" s="1406"/>
      <c r="DA18" s="1406"/>
      <c r="DB18" s="424"/>
      <c r="DC18" s="243"/>
      <c r="DD18" s="243"/>
      <c r="DE18" s="243"/>
      <c r="DF18" s="243"/>
      <c r="DG18" s="243"/>
      <c r="DH18" s="243"/>
      <c r="DI18" s="243"/>
      <c r="DJ18" s="243"/>
      <c r="DK18" s="243"/>
      <c r="DL18" s="243"/>
      <c r="DM18" s="243"/>
      <c r="DN18" s="243"/>
      <c r="DO18" s="243"/>
    </row>
    <row r="19" spans="1:119" s="6" customFormat="1" ht="11.85" customHeight="1">
      <c r="A19" s="475"/>
      <c r="B19" s="477"/>
      <c r="C19" s="476"/>
      <c r="D19" s="475"/>
      <c r="E19" s="247">
        <v>1</v>
      </c>
      <c r="F19" s="645"/>
      <c r="G19" s="392"/>
      <c r="H19" s="1386" t="s">
        <v>339</v>
      </c>
      <c r="I19" s="1386"/>
      <c r="J19" s="1386"/>
      <c r="K19" s="1386"/>
      <c r="L19" s="513"/>
      <c r="M19" s="241"/>
      <c r="N19" s="250"/>
      <c r="O19" s="250" t="s">
        <v>294</v>
      </c>
      <c r="P19" s="1383" t="str">
        <f>ZRB!G11</f>
        <v>Stuttgart</v>
      </c>
      <c r="Q19" s="1384"/>
      <c r="R19" s="1385"/>
      <c r="S19" s="264"/>
      <c r="T19" s="525"/>
      <c r="U19" s="257"/>
      <c r="V19" s="1348">
        <f>Grafik_Ertrag!E24</f>
        <v>0</v>
      </c>
      <c r="W19" s="1349"/>
      <c r="X19" s="1349"/>
      <c r="Y19" s="293"/>
      <c r="Z19" s="293"/>
      <c r="AA19" s="294"/>
      <c r="AB19" s="294"/>
      <c r="AC19" s="294"/>
      <c r="AD19" s="294"/>
      <c r="AE19" s="294"/>
      <c r="AF19" s="294"/>
      <c r="AG19" s="294"/>
      <c r="AH19" s="294"/>
      <c r="AI19" s="294"/>
      <c r="AJ19" s="294"/>
      <c r="AK19" s="295"/>
      <c r="AL19" s="243"/>
      <c r="AM19" s="243"/>
      <c r="AO19" s="391"/>
      <c r="AP19" s="233" t="s">
        <v>271</v>
      </c>
      <c r="AQ19" s="233"/>
      <c r="AR19" s="234"/>
      <c r="AS19" s="249"/>
      <c r="AT19" s="235"/>
      <c r="AU19" s="235"/>
      <c r="AV19" s="235"/>
      <c r="AW19" s="235"/>
      <c r="AX19" s="250" t="s">
        <v>52</v>
      </c>
      <c r="AY19" s="1255"/>
      <c r="AZ19" s="1255"/>
      <c r="BA19" s="433"/>
      <c r="BB19" s="243"/>
      <c r="BC19" s="243"/>
      <c r="BD19" s="243"/>
      <c r="BE19" s="1344"/>
      <c r="BF19" s="1345"/>
      <c r="BG19" s="1345"/>
      <c r="BH19" s="1345"/>
      <c r="BI19" s="1345"/>
      <c r="BJ19" s="1345"/>
      <c r="BK19" s="236"/>
      <c r="BL19" s="236"/>
      <c r="BM19" s="236"/>
      <c r="BN19" s="236"/>
      <c r="BO19" s="235"/>
      <c r="BP19" s="235"/>
      <c r="BQ19" s="235"/>
      <c r="BR19" s="329"/>
      <c r="BS19" s="243"/>
      <c r="BT19" s="256"/>
      <c r="BU19" s="815">
        <f>ZRB!G106</f>
        <v>2</v>
      </c>
      <c r="BV19" s="808" t="str">
        <f>IF(BU21=1,"Anlagen bis max. "&amp;BU17&amp;" kWp sind von der EEG-Umlagepflicht befreit !",IF(BU19=2,"Wer künftig PV-Strom selbst verbraucht muss für diesen Eigenverbrauch EEG-Umlage","Für Bestandsanlagen (Anlagen mit Inbetriebnahme vor 01.08.2014) besteht keine"))</f>
        <v>Anlagen bis max. 30 kWp sind von der EEG-Umlagepflicht befreit !</v>
      </c>
      <c r="BW19" s="243"/>
      <c r="BX19" s="243"/>
      <c r="BY19" s="243"/>
      <c r="BZ19" s="243"/>
      <c r="CA19" s="243"/>
      <c r="CB19" s="243"/>
      <c r="CC19" s="243"/>
      <c r="CD19" s="243"/>
      <c r="CE19" s="243"/>
      <c r="CF19" s="243"/>
      <c r="CG19" s="243"/>
      <c r="CH19" s="243"/>
      <c r="CI19" s="806"/>
      <c r="CJ19" s="256"/>
      <c r="CK19" s="243"/>
      <c r="CL19" s="243"/>
      <c r="CM19" s="423"/>
      <c r="CN19" s="371"/>
      <c r="CO19" s="1356"/>
      <c r="CP19" s="1356"/>
      <c r="CQ19" s="1356"/>
      <c r="CR19" s="1356"/>
      <c r="CS19" s="1356"/>
      <c r="CT19" s="1356"/>
      <c r="CU19" s="1356"/>
      <c r="CV19" s="1356"/>
      <c r="CW19" s="1356"/>
      <c r="CX19" s="1356"/>
      <c r="CY19" s="1406"/>
      <c r="CZ19" s="1406"/>
      <c r="DA19" s="1406"/>
      <c r="DB19" s="424"/>
      <c r="DC19" s="243"/>
      <c r="DD19" s="243"/>
      <c r="DE19" s="243"/>
      <c r="DF19" s="243"/>
      <c r="DG19" s="243"/>
      <c r="DH19" s="243"/>
      <c r="DI19" s="243"/>
      <c r="DJ19" s="243"/>
      <c r="DK19" s="243"/>
      <c r="DL19" s="243"/>
      <c r="DM19" s="243"/>
      <c r="DN19" s="243"/>
      <c r="DO19" s="243"/>
    </row>
    <row r="20" spans="1:119" s="6" customFormat="1" ht="2.4500000000000002" customHeight="1">
      <c r="A20" s="475"/>
      <c r="B20" s="477"/>
      <c r="C20" s="476"/>
      <c r="D20" s="475"/>
      <c r="E20" s="247"/>
      <c r="F20" s="645"/>
      <c r="G20" s="392"/>
      <c r="H20" s="1386"/>
      <c r="I20" s="1386"/>
      <c r="J20" s="1386"/>
      <c r="K20" s="1386"/>
      <c r="L20" s="513"/>
      <c r="M20" s="241"/>
      <c r="N20" s="240"/>
      <c r="O20" s="235"/>
      <c r="P20" s="252"/>
      <c r="Q20" s="252"/>
      <c r="R20" s="252"/>
      <c r="S20" s="264"/>
      <c r="T20" s="525"/>
      <c r="U20" s="257"/>
      <c r="V20" s="1348"/>
      <c r="W20" s="1349"/>
      <c r="X20" s="1349"/>
      <c r="Y20" s="293"/>
      <c r="Z20" s="293"/>
      <c r="AA20" s="296"/>
      <c r="AB20" s="296"/>
      <c r="AC20" s="297"/>
      <c r="AD20" s="297"/>
      <c r="AE20" s="297"/>
      <c r="AF20" s="297"/>
      <c r="AG20" s="298"/>
      <c r="AH20" s="298"/>
      <c r="AI20" s="299"/>
      <c r="AJ20" s="299"/>
      <c r="AK20" s="295"/>
      <c r="AL20" s="243"/>
      <c r="AM20" s="243"/>
      <c r="AN20" s="327"/>
      <c r="AO20" s="391"/>
      <c r="AP20" s="233"/>
      <c r="AQ20" s="232"/>
      <c r="AR20" s="234"/>
      <c r="AS20" s="234"/>
      <c r="AT20" s="235"/>
      <c r="AU20" s="235"/>
      <c r="AV20" s="235"/>
      <c r="AW20" s="235"/>
      <c r="AX20" s="251"/>
      <c r="AY20" s="252"/>
      <c r="AZ20" s="252"/>
      <c r="BA20" s="409"/>
      <c r="BB20" s="243"/>
      <c r="BC20" s="243"/>
      <c r="BD20" s="243"/>
      <c r="BE20" s="1344"/>
      <c r="BF20" s="1345"/>
      <c r="BG20" s="1345"/>
      <c r="BH20" s="1345"/>
      <c r="BI20" s="1345"/>
      <c r="BJ20" s="1345"/>
      <c r="BK20" s="236"/>
      <c r="BL20" s="236"/>
      <c r="BM20" s="236"/>
      <c r="BN20" s="236"/>
      <c r="BO20" s="235"/>
      <c r="BP20" s="235"/>
      <c r="BQ20" s="235"/>
      <c r="BR20" s="329"/>
      <c r="BS20" s="243"/>
      <c r="BT20" s="256"/>
      <c r="BU20" s="801"/>
      <c r="BV20" s="808"/>
      <c r="BW20" s="243"/>
      <c r="BX20" s="243"/>
      <c r="BY20" s="243"/>
      <c r="BZ20" s="243"/>
      <c r="CA20" s="243"/>
      <c r="CB20" s="243"/>
      <c r="CC20" s="243"/>
      <c r="CD20" s="243"/>
      <c r="CE20" s="243"/>
      <c r="CF20" s="243"/>
      <c r="CG20" s="243"/>
      <c r="CH20" s="243"/>
      <c r="CI20" s="806"/>
      <c r="CJ20" s="256"/>
      <c r="CK20" s="243"/>
      <c r="CL20" s="243"/>
      <c r="CM20" s="423"/>
      <c r="CN20" s="371"/>
      <c r="CO20" s="1420" t="s">
        <v>327</v>
      </c>
      <c r="CP20" s="1420"/>
      <c r="CQ20" s="1420"/>
      <c r="CR20" s="1420"/>
      <c r="CS20" s="1420"/>
      <c r="CT20" s="1420"/>
      <c r="CU20" s="1420"/>
      <c r="CV20" s="1420"/>
      <c r="CW20" s="1420"/>
      <c r="CX20" s="1420"/>
      <c r="CY20" s="1406" t="str">
        <f>IF(AN11=1,"",ZRB!G86*-1)</f>
        <v/>
      </c>
      <c r="CZ20" s="1406"/>
      <c r="DA20" s="1406"/>
      <c r="DB20" s="424"/>
      <c r="DC20" s="243"/>
      <c r="DD20" s="243"/>
      <c r="DE20" s="243"/>
      <c r="DF20" s="243"/>
      <c r="DG20" s="243"/>
      <c r="DH20" s="243"/>
      <c r="DI20" s="243"/>
      <c r="DJ20" s="243"/>
      <c r="DK20" s="243"/>
      <c r="DL20" s="243"/>
      <c r="DM20" s="243"/>
      <c r="DN20" s="243"/>
      <c r="DO20" s="243"/>
    </row>
    <row r="21" spans="1:119" s="6" customFormat="1" ht="11.85" customHeight="1">
      <c r="A21" s="475"/>
      <c r="B21" s="477"/>
      <c r="C21" s="476"/>
      <c r="D21" s="475"/>
      <c r="E21" s="247">
        <v>10</v>
      </c>
      <c r="F21" s="645"/>
      <c r="G21" s="392"/>
      <c r="H21" s="1386" t="s">
        <v>304</v>
      </c>
      <c r="I21" s="1386"/>
      <c r="J21" s="1386"/>
      <c r="K21" s="1386"/>
      <c r="L21" s="1386"/>
      <c r="M21" s="397"/>
      <c r="N21" s="250" t="s">
        <v>295</v>
      </c>
      <c r="O21" s="235"/>
      <c r="P21" s="1383" t="str">
        <f>ZRB!G12</f>
        <v>Mai  2022</v>
      </c>
      <c r="Q21" s="1384"/>
      <c r="R21" s="1385"/>
      <c r="S21" s="264"/>
      <c r="T21" s="525"/>
      <c r="U21" s="257"/>
      <c r="V21" s="1348"/>
      <c r="W21" s="1349"/>
      <c r="X21" s="1349"/>
      <c r="Y21" s="293"/>
      <c r="Z21" s="293"/>
      <c r="AA21" s="296"/>
      <c r="AB21" s="296"/>
      <c r="AC21" s="297"/>
      <c r="AD21" s="297"/>
      <c r="AE21" s="297"/>
      <c r="AF21" s="297"/>
      <c r="AG21" s="298"/>
      <c r="AH21" s="298"/>
      <c r="AI21" s="299"/>
      <c r="AJ21" s="299"/>
      <c r="AK21" s="295"/>
      <c r="AL21" s="243"/>
      <c r="AM21" s="243"/>
      <c r="AN21" s="414">
        <f>ZRB!G33</f>
        <v>0</v>
      </c>
      <c r="AO21" s="391"/>
      <c r="AP21" s="233" t="s">
        <v>317</v>
      </c>
      <c r="AQ21" s="233"/>
      <c r="AR21" s="234"/>
      <c r="AS21" s="249"/>
      <c r="AT21" s="235"/>
      <c r="AU21" s="235"/>
      <c r="AV21" s="235"/>
      <c r="AW21" s="235"/>
      <c r="AX21" s="250" t="s">
        <v>52</v>
      </c>
      <c r="AY21" s="1255"/>
      <c r="AZ21" s="1255"/>
      <c r="BA21" s="433"/>
      <c r="BB21" s="243"/>
      <c r="BC21" s="243"/>
      <c r="BD21" s="243"/>
      <c r="BE21" s="546"/>
      <c r="BF21" s="236"/>
      <c r="BG21" s="236"/>
      <c r="BH21" s="236"/>
      <c r="BI21" s="236"/>
      <c r="BJ21" s="236"/>
      <c r="BK21" s="236"/>
      <c r="BL21" s="236"/>
      <c r="BM21" s="236"/>
      <c r="BN21" s="236"/>
      <c r="BO21" s="235"/>
      <c r="BP21" s="235"/>
      <c r="BQ21" s="235"/>
      <c r="BR21" s="329"/>
      <c r="BS21" s="243"/>
      <c r="BT21" s="256"/>
      <c r="BU21" s="815">
        <f>ZRB!G107</f>
        <v>1</v>
      </c>
      <c r="BV21" s="808" t="str">
        <f>IF(BU21=1,"",IF(BU19=2,"abführen (i.d.R. gültig für Neuanlagen mit Inbetriebnahme ab 01.08.2014;","EEG-Umlagepflicht !"))</f>
        <v/>
      </c>
      <c r="BW21" s="243"/>
      <c r="BX21" s="243"/>
      <c r="BY21" s="243"/>
      <c r="BZ21" s="243"/>
      <c r="CA21" s="243"/>
      <c r="CB21" s="243"/>
      <c r="CC21" s="243"/>
      <c r="CD21" s="243"/>
      <c r="CE21" s="243"/>
      <c r="CF21" s="243"/>
      <c r="CG21" s="243"/>
      <c r="CH21" s="243"/>
      <c r="CI21" s="806"/>
      <c r="CJ21" s="256"/>
      <c r="CK21" s="243"/>
      <c r="CL21" s="243"/>
      <c r="CM21" s="565"/>
      <c r="CN21" s="371"/>
      <c r="CO21" s="1420"/>
      <c r="CP21" s="1420"/>
      <c r="CQ21" s="1420"/>
      <c r="CR21" s="1420"/>
      <c r="CS21" s="1420"/>
      <c r="CT21" s="1420"/>
      <c r="CU21" s="1420"/>
      <c r="CV21" s="1420"/>
      <c r="CW21" s="1420"/>
      <c r="CX21" s="1420"/>
      <c r="CY21" s="1406"/>
      <c r="CZ21" s="1406"/>
      <c r="DA21" s="1406"/>
      <c r="DB21" s="424"/>
      <c r="DC21" s="243"/>
      <c r="DD21" s="243"/>
      <c r="DE21" s="243"/>
      <c r="DF21" s="243"/>
      <c r="DG21" s="243"/>
      <c r="DH21" s="243"/>
      <c r="DI21" s="243"/>
      <c r="DJ21" s="243"/>
      <c r="DK21" s="243"/>
      <c r="DL21" s="243"/>
      <c r="DM21" s="243"/>
      <c r="DN21" s="243"/>
      <c r="DO21" s="243"/>
    </row>
    <row r="22" spans="1:119" s="6" customFormat="1" ht="2.4500000000000002" customHeight="1" thickBot="1">
      <c r="A22" s="475"/>
      <c r="B22" s="477"/>
      <c r="C22" s="476"/>
      <c r="D22" s="475"/>
      <c r="E22" s="247"/>
      <c r="F22" s="645"/>
      <c r="G22" s="392"/>
      <c r="H22" s="1386"/>
      <c r="I22" s="1386"/>
      <c r="J22" s="1386"/>
      <c r="K22" s="1386"/>
      <c r="L22" s="1386"/>
      <c r="M22" s="397"/>
      <c r="N22" s="237"/>
      <c r="O22" s="237"/>
      <c r="P22" s="237"/>
      <c r="Q22" s="237"/>
      <c r="R22" s="237"/>
      <c r="S22" s="393"/>
      <c r="T22" s="525"/>
      <c r="U22" s="257"/>
      <c r="V22" s="302"/>
      <c r="W22" s="300"/>
      <c r="X22" s="300"/>
      <c r="Y22" s="293"/>
      <c r="Z22" s="293"/>
      <c r="AA22" s="296"/>
      <c r="AB22" s="296"/>
      <c r="AC22" s="297"/>
      <c r="AD22" s="297"/>
      <c r="AE22" s="297"/>
      <c r="AF22" s="297"/>
      <c r="AG22" s="298"/>
      <c r="AH22" s="298"/>
      <c r="AI22" s="299"/>
      <c r="AJ22" s="299"/>
      <c r="AK22" s="295"/>
      <c r="AL22" s="243"/>
      <c r="AM22" s="243"/>
      <c r="AN22" s="327"/>
      <c r="AO22" s="391"/>
      <c r="AP22" s="233"/>
      <c r="AQ22" s="232"/>
      <c r="AR22" s="232"/>
      <c r="AS22" s="232"/>
      <c r="AT22" s="232"/>
      <c r="AU22" s="232"/>
      <c r="AV22" s="232"/>
      <c r="AW22" s="235"/>
      <c r="AX22" s="232"/>
      <c r="AY22" s="252"/>
      <c r="AZ22" s="252"/>
      <c r="BA22" s="409"/>
      <c r="BB22" s="243"/>
      <c r="BC22" s="243"/>
      <c r="BD22" s="243"/>
      <c r="BE22" s="546"/>
      <c r="BF22" s="236"/>
      <c r="BG22" s="236"/>
      <c r="BH22" s="236"/>
      <c r="BI22" s="236"/>
      <c r="BJ22" s="236"/>
      <c r="BK22" s="236"/>
      <c r="BL22" s="236"/>
      <c r="BM22" s="236"/>
      <c r="BN22" s="236"/>
      <c r="BO22" s="235"/>
      <c r="BP22" s="235"/>
      <c r="BQ22" s="235"/>
      <c r="BR22" s="329"/>
      <c r="BS22" s="243"/>
      <c r="BT22" s="256"/>
      <c r="BU22" s="801"/>
      <c r="BV22" s="808"/>
      <c r="BW22" s="243"/>
      <c r="BX22" s="243"/>
      <c r="BY22" s="243"/>
      <c r="BZ22" s="243"/>
      <c r="CA22" s="243"/>
      <c r="CB22" s="243"/>
      <c r="CC22" s="243"/>
      <c r="CD22" s="243"/>
      <c r="CE22" s="243"/>
      <c r="CF22" s="243"/>
      <c r="CG22" s="243"/>
      <c r="CH22" s="243"/>
      <c r="CI22" s="806"/>
      <c r="CJ22" s="256"/>
      <c r="CK22" s="243"/>
      <c r="CL22" s="243"/>
      <c r="CM22" s="442"/>
      <c r="CN22" s="298"/>
      <c r="CO22" s="731"/>
      <c r="CP22" s="731"/>
      <c r="CQ22" s="731"/>
      <c r="CR22" s="731"/>
      <c r="CS22" s="731"/>
      <c r="CT22" s="731"/>
      <c r="CU22" s="731"/>
      <c r="CV22" s="731"/>
      <c r="CW22" s="731"/>
      <c r="CX22" s="298"/>
      <c r="CY22" s="732"/>
      <c r="CZ22" s="732"/>
      <c r="DA22" s="732"/>
      <c r="DB22" s="359"/>
      <c r="DC22" s="243"/>
      <c r="DD22" s="243"/>
      <c r="DE22" s="243"/>
      <c r="DF22" s="243"/>
      <c r="DG22" s="243"/>
      <c r="DH22" s="243"/>
      <c r="DI22" s="243"/>
      <c r="DJ22" s="243"/>
      <c r="DK22" s="243"/>
      <c r="DL22" s="243"/>
      <c r="DM22" s="243"/>
      <c r="DN22" s="243"/>
      <c r="DO22" s="243"/>
    </row>
    <row r="23" spans="1:119" s="6" customFormat="1" ht="11.85" customHeight="1" thickTop="1">
      <c r="A23" s="475"/>
      <c r="B23" s="1379" t="s">
        <v>334</v>
      </c>
      <c r="C23" s="1380"/>
      <c r="D23" s="475"/>
      <c r="E23" s="247">
        <v>161</v>
      </c>
      <c r="F23" s="645"/>
      <c r="G23" s="484"/>
      <c r="H23" s="1128" t="str">
        <f>IF(AN13=1,"Dachanlage größer "&amp;AN15&amp;" kWp: Es werden lediglich die Vollkosten je kWh ausgewiesen","")</f>
        <v/>
      </c>
      <c r="I23" s="485"/>
      <c r="J23" s="485"/>
      <c r="K23" s="485"/>
      <c r="L23" s="485"/>
      <c r="M23" s="485"/>
      <c r="N23" s="485"/>
      <c r="O23" s="485"/>
      <c r="P23" s="485"/>
      <c r="Q23" s="485"/>
      <c r="R23" s="485"/>
      <c r="S23" s="486"/>
      <c r="T23" s="525"/>
      <c r="U23" s="257"/>
      <c r="V23" s="1348">
        <f>Grafik_Ertrag!E25</f>
        <v>0</v>
      </c>
      <c r="W23" s="1349"/>
      <c r="X23" s="1349"/>
      <c r="Y23" s="293"/>
      <c r="Z23" s="293"/>
      <c r="AA23" s="296"/>
      <c r="AB23" s="296"/>
      <c r="AC23" s="297"/>
      <c r="AD23" s="297"/>
      <c r="AE23" s="297"/>
      <c r="AF23" s="297"/>
      <c r="AG23" s="298"/>
      <c r="AH23" s="298"/>
      <c r="AI23" s="299"/>
      <c r="AJ23" s="299"/>
      <c r="AK23" s="295"/>
      <c r="AL23" s="243"/>
      <c r="AM23" s="243"/>
      <c r="AN23" s="327"/>
      <c r="AO23" s="391"/>
      <c r="AP23" s="1261" t="s">
        <v>995</v>
      </c>
      <c r="AQ23" s="1261"/>
      <c r="AR23" s="1261"/>
      <c r="AS23" s="1261"/>
      <c r="AT23" s="1261"/>
      <c r="AU23" s="1261"/>
      <c r="AV23" s="1261"/>
      <c r="AW23" s="1261"/>
      <c r="AX23" s="250" t="s">
        <v>299</v>
      </c>
      <c r="AY23" s="1255"/>
      <c r="AZ23" s="1255"/>
      <c r="BA23" s="433"/>
      <c r="BB23" s="243"/>
      <c r="BC23" s="243"/>
      <c r="BD23" s="243"/>
      <c r="BE23" s="467"/>
      <c r="BF23" s="544" t="s">
        <v>323</v>
      </c>
      <c r="BG23" s="544"/>
      <c r="BH23" s="544"/>
      <c r="BI23" s="1264" t="str">
        <f>"("&amp;ROUND(ZRB!G18,0)&amp;" kWh/kWp; incl. "&amp;ROUND(ZRB!G20,3)*100&amp;"% Systemalterung)"</f>
        <v>(930 kWh/kWp; incl. 0,5% Systemalterung)</v>
      </c>
      <c r="BJ23" s="1264"/>
      <c r="BK23" s="1264"/>
      <c r="BL23" s="1264"/>
      <c r="BM23" s="1264"/>
      <c r="BN23" s="1264"/>
      <c r="BO23" s="1262">
        <f>ZRB!G23</f>
        <v>0</v>
      </c>
      <c r="BP23" s="1262"/>
      <c r="BQ23" s="1262"/>
      <c r="BR23" s="329"/>
      <c r="BS23" s="243"/>
      <c r="BT23" s="256"/>
      <c r="BU23" s="801"/>
      <c r="BV23" s="808" t="str">
        <f>IF(OR(BU19=1,BU21=1),"","Sonderregelungen siehe EEG 2014)")</f>
        <v/>
      </c>
      <c r="BW23" s="243"/>
      <c r="BX23" s="243"/>
      <c r="BY23" s="243"/>
      <c r="BZ23" s="243"/>
      <c r="CA23" s="243"/>
      <c r="CB23" s="243"/>
      <c r="CC23" s="243"/>
      <c r="CD23" s="243"/>
      <c r="CE23" s="243"/>
      <c r="CF23" s="243"/>
      <c r="CG23" s="243"/>
      <c r="CH23" s="243"/>
      <c r="CI23" s="806"/>
      <c r="CJ23" s="256"/>
      <c r="CK23" s="243"/>
      <c r="CL23" s="243"/>
      <c r="CM23" s="442"/>
      <c r="CN23" s="730"/>
      <c r="CO23" s="1432" t="str">
        <f>IF($AN$13=1,"Bei Dachanlagen größer 300 kWp werden ab IB: APR21",IF($AN$11=1,""," &gt; Kosten d. Eigenstromverbrauchs bei "&amp;ROUND(ZRB!$G$30,0)&amp;" kWh ("&amp;ROUND(ZRB!$I$31,2)*100&amp;"%) incl. EEG-Umlage:"))</f>
        <v/>
      </c>
      <c r="CP23" s="1433"/>
      <c r="CQ23" s="1433"/>
      <c r="CR23" s="1433"/>
      <c r="CS23" s="1433"/>
      <c r="CT23" s="1433"/>
      <c r="CU23" s="1433"/>
      <c r="CV23" s="1433"/>
      <c r="CW23" s="1433"/>
      <c r="CX23" s="1433"/>
      <c r="CY23" s="1421" t="str">
        <f>IF($AN$13=1,"",IF($AN$21=1,"",IF(AN11=1,"",ZRB!G114*100)))</f>
        <v/>
      </c>
      <c r="CZ23" s="1421"/>
      <c r="DA23" s="1422"/>
      <c r="DB23" s="359"/>
      <c r="DC23" s="243"/>
      <c r="DD23" s="243"/>
      <c r="DE23" s="243"/>
      <c r="DF23" s="243"/>
      <c r="DG23" s="243"/>
      <c r="DH23" s="243"/>
      <c r="DI23" s="243"/>
      <c r="DJ23" s="243"/>
      <c r="DK23" s="243"/>
      <c r="DL23" s="243"/>
      <c r="DM23" s="243"/>
      <c r="DN23" s="243"/>
      <c r="DO23" s="243"/>
    </row>
    <row r="24" spans="1:119" s="6" customFormat="1" ht="2.4500000000000002" customHeight="1">
      <c r="A24" s="475"/>
      <c r="B24" s="1381"/>
      <c r="C24" s="1382"/>
      <c r="D24" s="475"/>
      <c r="E24" s="247"/>
      <c r="F24" s="524"/>
      <c r="G24" s="260"/>
      <c r="H24" s="261"/>
      <c r="I24" s="261"/>
      <c r="J24" s="261"/>
      <c r="K24" s="261"/>
      <c r="L24" s="261"/>
      <c r="M24" s="261"/>
      <c r="N24" s="261"/>
      <c r="O24" s="262"/>
      <c r="P24" s="262"/>
      <c r="Q24" s="262"/>
      <c r="R24" s="262"/>
      <c r="S24" s="263"/>
      <c r="T24" s="525"/>
      <c r="U24" s="257"/>
      <c r="V24" s="1348"/>
      <c r="W24" s="1349"/>
      <c r="X24" s="1349"/>
      <c r="Y24" s="293"/>
      <c r="Z24" s="293"/>
      <c r="AA24" s="296"/>
      <c r="AB24" s="296"/>
      <c r="AC24" s="297"/>
      <c r="AD24" s="297"/>
      <c r="AE24" s="297"/>
      <c r="AF24" s="297"/>
      <c r="AG24" s="298"/>
      <c r="AH24" s="298"/>
      <c r="AI24" s="299"/>
      <c r="AJ24" s="299"/>
      <c r="AK24" s="295"/>
      <c r="AL24" s="243"/>
      <c r="AM24" s="243"/>
      <c r="AN24" s="327"/>
      <c r="AO24" s="391"/>
      <c r="AP24" s="233"/>
      <c r="AQ24" s="233"/>
      <c r="AR24" s="233"/>
      <c r="AS24" s="233"/>
      <c r="AT24" s="233"/>
      <c r="AU24" s="233"/>
      <c r="AV24" s="233"/>
      <c r="AW24" s="233"/>
      <c r="AX24" s="233"/>
      <c r="AY24" s="252"/>
      <c r="AZ24" s="252"/>
      <c r="BA24" s="409"/>
      <c r="BB24" s="243"/>
      <c r="BC24" s="243"/>
      <c r="BD24" s="243"/>
      <c r="BE24" s="468"/>
      <c r="BF24" s="544"/>
      <c r="BG24" s="544"/>
      <c r="BH24" s="544"/>
      <c r="BI24" s="1264"/>
      <c r="BJ24" s="1264"/>
      <c r="BK24" s="1264"/>
      <c r="BL24" s="1264"/>
      <c r="BM24" s="1264"/>
      <c r="BN24" s="1264"/>
      <c r="BO24" s="1262"/>
      <c r="BP24" s="1262"/>
      <c r="BQ24" s="1262"/>
      <c r="BR24" s="329"/>
      <c r="BS24" s="243"/>
      <c r="BT24" s="256"/>
      <c r="BU24" s="801"/>
      <c r="BV24" s="807"/>
      <c r="BW24" s="243"/>
      <c r="BX24" s="243"/>
      <c r="BY24" s="243"/>
      <c r="BZ24" s="243"/>
      <c r="CA24" s="243"/>
      <c r="CB24" s="243"/>
      <c r="CC24" s="243"/>
      <c r="CD24" s="243"/>
      <c r="CE24" s="243"/>
      <c r="CF24" s="243"/>
      <c r="CG24" s="243"/>
      <c r="CH24" s="243"/>
      <c r="CI24" s="806"/>
      <c r="CJ24" s="256"/>
      <c r="CK24" s="243"/>
      <c r="CL24" s="243"/>
      <c r="CM24" s="442"/>
      <c r="CN24" s="730"/>
      <c r="CO24" s="1434" t="str">
        <f>IF($AN$13=1,"lediglich die Vollkosten ausgewiesen.",IF($AN$11=1,"","[ "&amp;ROUND(ZRB!G87,0)&amp;" € / "&amp;ROUND(ZRB!G30,0)&amp;" kWh ] = "&amp;ROUND(ZRB!G88,4)*100&amp;"  + "&amp;ROUND(ZRB!G113,4)*100&amp;"  = "&amp;ROUND(ZRB!G114,4)*100&amp;" Cent/kWh "))</f>
        <v/>
      </c>
      <c r="CP24" s="1435"/>
      <c r="CQ24" s="1435"/>
      <c r="CR24" s="1435"/>
      <c r="CS24" s="1435"/>
      <c r="CT24" s="1435"/>
      <c r="CU24" s="1435"/>
      <c r="CV24" s="1435"/>
      <c r="CW24" s="1435"/>
      <c r="CX24" s="1435"/>
      <c r="CY24" s="1423"/>
      <c r="CZ24" s="1423"/>
      <c r="DA24" s="1424"/>
      <c r="DB24" s="359"/>
      <c r="DC24" s="243"/>
      <c r="DD24" s="243"/>
      <c r="DE24" s="243"/>
      <c r="DF24" s="243"/>
      <c r="DG24" s="243"/>
      <c r="DH24" s="243"/>
      <c r="DI24" s="243"/>
      <c r="DJ24" s="243"/>
      <c r="DK24" s="243"/>
      <c r="DL24" s="243"/>
      <c r="DM24" s="243"/>
      <c r="DN24" s="243"/>
      <c r="DO24" s="243"/>
    </row>
    <row r="25" spans="1:119" s="6" customFormat="1" ht="11.85" customHeight="1" thickBot="1">
      <c r="A25" s="475"/>
      <c r="B25" s="1381"/>
      <c r="C25" s="1382"/>
      <c r="D25" s="475"/>
      <c r="E25" s="413">
        <f>IF(AND(E13&gt;0,E29&gt;0),0,1)</f>
        <v>1</v>
      </c>
      <c r="F25" s="524"/>
      <c r="G25" s="1370" t="s">
        <v>346</v>
      </c>
      <c r="H25" s="1371"/>
      <c r="I25" s="1371"/>
      <c r="J25" s="1371"/>
      <c r="K25" s="1371"/>
      <c r="L25" s="380"/>
      <c r="M25" s="380"/>
      <c r="N25" s="380"/>
      <c r="O25" s="509" t="str">
        <f>"(Durchschnitt über "&amp;E35&amp;" Jahre): "</f>
        <v xml:space="preserve">(Durchschnitt über 20 Jahre): </v>
      </c>
      <c r="P25" s="1372">
        <f>ZRB!G23</f>
        <v>0</v>
      </c>
      <c r="Q25" s="1372"/>
      <c r="R25" s="1372"/>
      <c r="S25" s="278"/>
      <c r="T25" s="525"/>
      <c r="U25" s="257"/>
      <c r="V25" s="1348"/>
      <c r="W25" s="1349"/>
      <c r="X25" s="1349"/>
      <c r="Y25" s="293"/>
      <c r="Z25" s="293"/>
      <c r="AA25" s="296"/>
      <c r="AB25" s="296"/>
      <c r="AC25" s="297"/>
      <c r="AD25" s="297"/>
      <c r="AE25" s="297"/>
      <c r="AF25" s="297"/>
      <c r="AG25" s="298"/>
      <c r="AH25" s="298"/>
      <c r="AI25" s="299"/>
      <c r="AJ25" s="299"/>
      <c r="AK25" s="295"/>
      <c r="AL25" s="243"/>
      <c r="AM25" s="243"/>
      <c r="AN25" s="327"/>
      <c r="AO25" s="391"/>
      <c r="AP25" s="1261"/>
      <c r="AQ25" s="1261"/>
      <c r="AR25" s="1261"/>
      <c r="AS25" s="1261"/>
      <c r="AT25" s="1261"/>
      <c r="AU25" s="1261"/>
      <c r="AV25" s="1261"/>
      <c r="AW25" s="1261"/>
      <c r="AX25" s="250" t="s">
        <v>299</v>
      </c>
      <c r="AY25" s="1255"/>
      <c r="AZ25" s="1255"/>
      <c r="BA25" s="433"/>
      <c r="BB25" s="243"/>
      <c r="BC25" s="243"/>
      <c r="BD25" s="243"/>
      <c r="BE25" s="468"/>
      <c r="BF25" s="544" t="s">
        <v>370</v>
      </c>
      <c r="BG25" s="544"/>
      <c r="BH25" s="544"/>
      <c r="BI25" s="544"/>
      <c r="BJ25" s="544"/>
      <c r="BK25" s="544"/>
      <c r="BL25" s="544"/>
      <c r="BM25" s="544"/>
      <c r="BN25" s="543">
        <f>ZRB!I32</f>
        <v>0</v>
      </c>
      <c r="BO25" s="1262">
        <f>ZRB!G32</f>
        <v>0</v>
      </c>
      <c r="BP25" s="1262"/>
      <c r="BQ25" s="1262"/>
      <c r="BR25" s="329"/>
      <c r="BS25" s="243"/>
      <c r="BT25" s="256"/>
      <c r="BU25" s="801"/>
      <c r="BV25" s="807"/>
      <c r="BW25" s="243"/>
      <c r="BX25" s="243"/>
      <c r="BY25" s="243"/>
      <c r="BZ25" s="243"/>
      <c r="CA25" s="243"/>
      <c r="CB25" s="243"/>
      <c r="CC25" s="243"/>
      <c r="CD25" s="243"/>
      <c r="CE25" s="243"/>
      <c r="CF25" s="243"/>
      <c r="CG25" s="243"/>
      <c r="CH25" s="243"/>
      <c r="CI25" s="806"/>
      <c r="CJ25" s="256"/>
      <c r="CK25" s="243"/>
      <c r="CL25" s="243"/>
      <c r="CM25" s="442"/>
      <c r="CN25" s="730"/>
      <c r="CO25" s="1436"/>
      <c r="CP25" s="1437"/>
      <c r="CQ25" s="1437"/>
      <c r="CR25" s="1437"/>
      <c r="CS25" s="1437"/>
      <c r="CT25" s="1437"/>
      <c r="CU25" s="1437"/>
      <c r="CV25" s="1437"/>
      <c r="CW25" s="1437"/>
      <c r="CX25" s="1437"/>
      <c r="CY25" s="1425"/>
      <c r="CZ25" s="1425"/>
      <c r="DA25" s="1426"/>
      <c r="DB25" s="359"/>
      <c r="DC25" s="243"/>
      <c r="DD25" s="243"/>
      <c r="DE25" s="243"/>
      <c r="DF25" s="243"/>
      <c r="DG25" s="243"/>
      <c r="DH25" s="243"/>
      <c r="DI25" s="243"/>
      <c r="DJ25" s="243"/>
      <c r="DK25" s="243"/>
      <c r="DL25" s="243"/>
      <c r="DM25" s="243"/>
      <c r="DN25" s="243"/>
      <c r="DO25" s="243"/>
    </row>
    <row r="26" spans="1:119" s="6" customFormat="1" ht="2.4500000000000002" customHeight="1" thickTop="1" thickBot="1">
      <c r="A26" s="475"/>
      <c r="B26" s="1381"/>
      <c r="C26" s="1382"/>
      <c r="D26" s="475"/>
      <c r="E26" s="247"/>
      <c r="F26" s="524"/>
      <c r="G26" s="1370"/>
      <c r="H26" s="1371"/>
      <c r="I26" s="1371"/>
      <c r="J26" s="1371"/>
      <c r="K26" s="1371"/>
      <c r="L26" s="380"/>
      <c r="M26" s="380"/>
      <c r="N26" s="380"/>
      <c r="O26" s="380"/>
      <c r="P26" s="379"/>
      <c r="Q26" s="379"/>
      <c r="R26" s="379"/>
      <c r="S26" s="278"/>
      <c r="T26" s="525"/>
      <c r="U26" s="257"/>
      <c r="V26" s="302"/>
      <c r="W26" s="300"/>
      <c r="X26" s="300"/>
      <c r="Y26" s="293"/>
      <c r="Z26" s="293"/>
      <c r="AA26" s="296"/>
      <c r="AB26" s="296"/>
      <c r="AC26" s="297"/>
      <c r="AD26" s="297"/>
      <c r="AE26" s="297"/>
      <c r="AF26" s="297"/>
      <c r="AG26" s="298"/>
      <c r="AH26" s="298"/>
      <c r="AI26" s="299"/>
      <c r="AJ26" s="299"/>
      <c r="AK26" s="295"/>
      <c r="AL26" s="243"/>
      <c r="AM26" s="243"/>
      <c r="AN26" s="327"/>
      <c r="AO26" s="391"/>
      <c r="AP26" s="1268" t="s">
        <v>246</v>
      </c>
      <c r="AQ26" s="1268"/>
      <c r="AR26" s="1268"/>
      <c r="AS26" s="1268"/>
      <c r="AT26" s="1268"/>
      <c r="AU26" s="1268"/>
      <c r="AV26" s="1269"/>
      <c r="AW26" s="1269"/>
      <c r="AX26" s="1269"/>
      <c r="AY26" s="1258">
        <f>ZRB!G52</f>
        <v>0</v>
      </c>
      <c r="AZ26" s="1258"/>
      <c r="BA26" s="1259"/>
      <c r="BB26" s="243"/>
      <c r="BC26" s="243"/>
      <c r="BD26" s="243"/>
      <c r="BE26" s="468"/>
      <c r="BF26" s="544"/>
      <c r="BG26" s="544"/>
      <c r="BH26" s="544"/>
      <c r="BI26" s="544"/>
      <c r="BJ26" s="544"/>
      <c r="BK26" s="544"/>
      <c r="BL26" s="544"/>
      <c r="BM26" s="544"/>
      <c r="BN26" s="406"/>
      <c r="BO26" s="1262"/>
      <c r="BP26" s="1262"/>
      <c r="BQ26" s="1262"/>
      <c r="BR26" s="329"/>
      <c r="BS26" s="243"/>
      <c r="BT26" s="256"/>
      <c r="BU26" s="801"/>
      <c r="BV26" s="807"/>
      <c r="BW26" s="243"/>
      <c r="BX26" s="243"/>
      <c r="BY26" s="243"/>
      <c r="BZ26" s="243"/>
      <c r="CA26" s="243"/>
      <c r="CB26" s="243"/>
      <c r="CC26" s="243"/>
      <c r="CD26" s="243"/>
      <c r="CE26" s="243"/>
      <c r="CF26" s="243"/>
      <c r="CG26" s="243"/>
      <c r="CH26" s="243"/>
      <c r="CI26" s="806"/>
      <c r="CJ26" s="256"/>
      <c r="CK26" s="243"/>
      <c r="CL26" s="243"/>
      <c r="CM26" s="442"/>
      <c r="CN26" s="730"/>
      <c r="CO26" s="733"/>
      <c r="CP26" s="733"/>
      <c r="CQ26" s="733"/>
      <c r="CR26" s="733"/>
      <c r="CS26" s="733"/>
      <c r="CT26" s="733"/>
      <c r="CU26" s="733"/>
      <c r="CV26" s="733"/>
      <c r="CW26" s="733"/>
      <c r="CX26" s="734"/>
      <c r="CY26" s="734"/>
      <c r="CZ26" s="734"/>
      <c r="DA26" s="734"/>
      <c r="DB26" s="359"/>
      <c r="DC26" s="243"/>
      <c r="DD26" s="243"/>
      <c r="DE26" s="243"/>
      <c r="DF26" s="243"/>
      <c r="DG26" s="243"/>
      <c r="DH26" s="243"/>
      <c r="DI26" s="243"/>
      <c r="DJ26" s="243"/>
      <c r="DK26" s="243"/>
      <c r="DL26" s="243"/>
      <c r="DM26" s="243"/>
      <c r="DN26" s="243"/>
      <c r="DO26" s="243"/>
    </row>
    <row r="27" spans="1:119" s="6" customFormat="1" ht="11.85" customHeight="1" thickTop="1" thickBot="1">
      <c r="A27" s="475"/>
      <c r="B27" s="1377" t="s">
        <v>356</v>
      </c>
      <c r="C27" s="1378"/>
      <c r="D27" s="475"/>
      <c r="E27" s="247"/>
      <c r="F27" s="524"/>
      <c r="G27" s="391"/>
      <c r="H27" s="504" t="s">
        <v>245</v>
      </c>
      <c r="I27" s="365"/>
      <c r="J27" s="510"/>
      <c r="K27" s="366"/>
      <c r="L27" s="1347">
        <v>930</v>
      </c>
      <c r="M27" s="1347"/>
      <c r="N27" s="237" t="s">
        <v>296</v>
      </c>
      <c r="O27" s="367"/>
      <c r="P27" s="1355">
        <f>ZRB!G19</f>
        <v>0</v>
      </c>
      <c r="Q27" s="1355"/>
      <c r="R27" s="1355"/>
      <c r="S27" s="264"/>
      <c r="T27" s="525"/>
      <c r="U27" s="257"/>
      <c r="V27" s="1348">
        <f>Grafik_Ertrag!E26</f>
        <v>0</v>
      </c>
      <c r="W27" s="1349"/>
      <c r="X27" s="1349"/>
      <c r="Y27" s="293"/>
      <c r="Z27" s="293"/>
      <c r="AA27" s="296"/>
      <c r="AB27" s="296"/>
      <c r="AC27" s="297"/>
      <c r="AD27" s="297"/>
      <c r="AE27" s="297"/>
      <c r="AF27" s="297"/>
      <c r="AG27" s="298"/>
      <c r="AH27" s="298"/>
      <c r="AI27" s="299"/>
      <c r="AJ27" s="299"/>
      <c r="AK27" s="295"/>
      <c r="AL27" s="248"/>
      <c r="AM27" s="248"/>
      <c r="AN27" s="327"/>
      <c r="AO27" s="391"/>
      <c r="AP27" s="1268"/>
      <c r="AQ27" s="1268"/>
      <c r="AR27" s="1268"/>
      <c r="AS27" s="1268"/>
      <c r="AT27" s="1268"/>
      <c r="AU27" s="1268"/>
      <c r="AV27" s="1269"/>
      <c r="AW27" s="1269"/>
      <c r="AX27" s="1269"/>
      <c r="AY27" s="1258"/>
      <c r="AZ27" s="1258"/>
      <c r="BA27" s="1259"/>
      <c r="BB27" s="248"/>
      <c r="BC27" s="248"/>
      <c r="BD27" s="247">
        <v>30</v>
      </c>
      <c r="BE27" s="468"/>
      <c r="BF27" s="544" t="s">
        <v>325</v>
      </c>
      <c r="BG27" s="544"/>
      <c r="BH27" s="544"/>
      <c r="BI27" s="544"/>
      <c r="BJ27" s="544"/>
      <c r="BK27" s="544"/>
      <c r="BL27" s="544"/>
      <c r="BM27" s="544"/>
      <c r="BN27" s="758">
        <f>ZRB!I31</f>
        <v>0</v>
      </c>
      <c r="BO27" s="1262">
        <f>ZRB!G31</f>
        <v>0</v>
      </c>
      <c r="BP27" s="1262"/>
      <c r="BQ27" s="1262"/>
      <c r="BR27" s="329"/>
      <c r="BS27" s="248"/>
      <c r="BT27" s="256"/>
      <c r="BU27" s="801"/>
      <c r="BV27" s="809" t="str">
        <f>IF(OR(BU19=1,BU21=1),"","Zu dieser Regel gibt es 2 generelle Ausnahmen:")</f>
        <v/>
      </c>
      <c r="BW27" s="243"/>
      <c r="BX27" s="243"/>
      <c r="BY27" s="243"/>
      <c r="BZ27" s="243"/>
      <c r="CA27" s="243"/>
      <c r="CB27" s="243"/>
      <c r="CC27" s="243"/>
      <c r="CD27" s="243"/>
      <c r="CE27" s="243"/>
      <c r="CF27" s="243"/>
      <c r="CG27" s="243"/>
      <c r="CH27" s="243"/>
      <c r="CI27" s="806"/>
      <c r="CJ27" s="256"/>
      <c r="CK27" s="248"/>
      <c r="CL27" s="248"/>
      <c r="CM27" s="442"/>
      <c r="CN27" s="432"/>
      <c r="CO27" s="1438" t="str">
        <f>IF(AN11=1,""," &gt; Die Vollkosten des PV-Stroms liegen incl. EEG-Umlage bei:")</f>
        <v/>
      </c>
      <c r="CP27" s="1439"/>
      <c r="CQ27" s="1439"/>
      <c r="CR27" s="1439"/>
      <c r="CS27" s="1439"/>
      <c r="CT27" s="1439"/>
      <c r="CU27" s="1439"/>
      <c r="CV27" s="1439"/>
      <c r="CW27" s="1439"/>
      <c r="CX27" s="1412" t="str">
        <f>IF(AN11=1,"",ROUND(Grafik_Kosten!K32*100,2))</f>
        <v/>
      </c>
      <c r="CY27" s="1412"/>
      <c r="CZ27" s="1412"/>
      <c r="DA27" s="1413"/>
      <c r="DB27" s="359"/>
      <c r="DC27" s="248"/>
      <c r="DD27" s="248"/>
      <c r="DE27" s="248"/>
      <c r="DF27" s="248"/>
      <c r="DG27" s="248"/>
      <c r="DH27" s="248"/>
      <c r="DI27" s="248"/>
      <c r="DJ27" s="248"/>
      <c r="DK27" s="248"/>
      <c r="DL27" s="248"/>
      <c r="DM27" s="248"/>
      <c r="DN27" s="248"/>
      <c r="DO27" s="248"/>
    </row>
    <row r="28" spans="1:119" s="6" customFormat="1" ht="2.4500000000000002" customHeight="1" thickTop="1">
      <c r="A28" s="475"/>
      <c r="B28" s="477"/>
      <c r="C28" s="475"/>
      <c r="D28" s="475"/>
      <c r="E28" s="247"/>
      <c r="F28" s="524"/>
      <c r="G28" s="391"/>
      <c r="H28" s="505"/>
      <c r="I28" s="365"/>
      <c r="J28" s="510"/>
      <c r="K28" s="366"/>
      <c r="L28" s="366"/>
      <c r="M28" s="366"/>
      <c r="N28" s="366"/>
      <c r="O28" s="366"/>
      <c r="P28" s="366"/>
      <c r="Q28" s="366"/>
      <c r="R28" s="511"/>
      <c r="S28" s="264"/>
      <c r="T28" s="525"/>
      <c r="U28" s="257"/>
      <c r="V28" s="1348"/>
      <c r="W28" s="1349"/>
      <c r="X28" s="1349"/>
      <c r="Y28" s="293"/>
      <c r="Z28" s="293"/>
      <c r="AA28" s="296"/>
      <c r="AB28" s="296"/>
      <c r="AC28" s="297"/>
      <c r="AD28" s="297"/>
      <c r="AE28" s="297"/>
      <c r="AF28" s="297"/>
      <c r="AG28" s="298"/>
      <c r="AH28" s="298"/>
      <c r="AI28" s="299"/>
      <c r="AJ28" s="299"/>
      <c r="AK28" s="295"/>
      <c r="AL28" s="248"/>
      <c r="AM28" s="248"/>
      <c r="AN28" s="327"/>
      <c r="AO28" s="391"/>
      <c r="AP28" s="1268"/>
      <c r="AQ28" s="1268"/>
      <c r="AR28" s="1268"/>
      <c r="AS28" s="1268"/>
      <c r="AT28" s="1268"/>
      <c r="AU28" s="1268"/>
      <c r="AV28" s="1269"/>
      <c r="AW28" s="1269"/>
      <c r="AX28" s="1269"/>
      <c r="AY28" s="1258"/>
      <c r="AZ28" s="1258"/>
      <c r="BA28" s="1259"/>
      <c r="BB28" s="248"/>
      <c r="BC28" s="248"/>
      <c r="BD28" s="248"/>
      <c r="BE28" s="683"/>
      <c r="BF28" s="684"/>
      <c r="BG28" s="684"/>
      <c r="BH28" s="684"/>
      <c r="BI28" s="684"/>
      <c r="BJ28" s="684"/>
      <c r="BK28" s="684"/>
      <c r="BL28" s="684"/>
      <c r="BM28" s="684"/>
      <c r="BN28" s="684"/>
      <c r="BO28" s="1263"/>
      <c r="BP28" s="1263"/>
      <c r="BQ28" s="1263"/>
      <c r="BR28" s="396"/>
      <c r="BS28" s="248"/>
      <c r="BT28" s="256"/>
      <c r="BU28" s="801"/>
      <c r="BV28" s="807"/>
      <c r="BW28" s="243"/>
      <c r="BX28" s="243"/>
      <c r="BY28" s="243"/>
      <c r="BZ28" s="243"/>
      <c r="CA28" s="243"/>
      <c r="CB28" s="243"/>
      <c r="CC28" s="243"/>
      <c r="CD28" s="243"/>
      <c r="CE28" s="243"/>
      <c r="CF28" s="243"/>
      <c r="CG28" s="243"/>
      <c r="CH28" s="243"/>
      <c r="CI28" s="806"/>
      <c r="CJ28" s="256"/>
      <c r="CK28" s="248"/>
      <c r="CL28" s="248"/>
      <c r="CM28" s="442"/>
      <c r="CN28" s="432"/>
      <c r="CO28" s="1428" t="str">
        <f>IF(AN11=1,""," [ "&amp;ROUND(ZRB!G80,0)&amp;" € / "&amp;ROUND(ZRB!G23,0)&amp;" kWh] = "&amp;ROUND((ZRB!G80)/(ZRB!G23)*100,2)&amp;" + "&amp;ROUND(ZRB!G113*100,2)&amp;" = "&amp;ROUND(ZRB!G117*100,2)&amp;" Ct/kWh:")</f>
        <v/>
      </c>
      <c r="CP28" s="1429"/>
      <c r="CQ28" s="1429"/>
      <c r="CR28" s="1429"/>
      <c r="CS28" s="1429"/>
      <c r="CT28" s="1429"/>
      <c r="CU28" s="1429"/>
      <c r="CV28" s="1429"/>
      <c r="CW28" s="1429"/>
      <c r="CX28" s="1414"/>
      <c r="CY28" s="1414"/>
      <c r="CZ28" s="1414"/>
      <c r="DA28" s="1415"/>
      <c r="DB28" s="359"/>
      <c r="DC28" s="248"/>
      <c r="DD28" s="248"/>
      <c r="DE28" s="248"/>
      <c r="DF28" s="248"/>
      <c r="DG28" s="248"/>
      <c r="DH28" s="248"/>
      <c r="DI28" s="248"/>
      <c r="DJ28" s="248"/>
      <c r="DK28" s="248"/>
      <c r="DL28" s="248"/>
      <c r="DM28" s="248"/>
      <c r="DN28" s="248"/>
      <c r="DO28" s="248"/>
    </row>
    <row r="29" spans="1:119" s="6" customFormat="1" ht="11.85" customHeight="1" thickBot="1">
      <c r="A29" s="475"/>
      <c r="B29" s="477"/>
      <c r="C29" s="475"/>
      <c r="D29" s="475"/>
      <c r="E29" s="247">
        <f>ZRB!G18</f>
        <v>930</v>
      </c>
      <c r="F29" s="524"/>
      <c r="G29" s="391"/>
      <c r="H29" s="506" t="s">
        <v>335</v>
      </c>
      <c r="I29" s="368"/>
      <c r="J29" s="510"/>
      <c r="K29" s="367"/>
      <c r="L29" s="367"/>
      <c r="M29" s="514">
        <v>5.0000000000000001E-3</v>
      </c>
      <c r="N29" s="237" t="s">
        <v>42</v>
      </c>
      <c r="O29" s="235"/>
      <c r="P29" s="369"/>
      <c r="Q29" s="370"/>
      <c r="R29" s="369"/>
      <c r="S29" s="264"/>
      <c r="T29" s="525"/>
      <c r="U29" s="257"/>
      <c r="V29" s="1348"/>
      <c r="W29" s="1349"/>
      <c r="X29" s="1349"/>
      <c r="Y29" s="293"/>
      <c r="Z29" s="293"/>
      <c r="AA29" s="296"/>
      <c r="AB29" s="296"/>
      <c r="AC29" s="297"/>
      <c r="AD29" s="297"/>
      <c r="AE29" s="297"/>
      <c r="AF29" s="297"/>
      <c r="AG29" s="298"/>
      <c r="AH29" s="298"/>
      <c r="AI29" s="299"/>
      <c r="AJ29" s="299"/>
      <c r="AK29" s="295"/>
      <c r="AL29" s="248"/>
      <c r="AM29" s="248"/>
      <c r="AN29" s="327"/>
      <c r="AO29" s="391"/>
      <c r="AP29" s="1261"/>
      <c r="AQ29" s="1261"/>
      <c r="AR29" s="1261"/>
      <c r="AS29" s="1261"/>
      <c r="AT29" s="1261"/>
      <c r="AU29" s="1261"/>
      <c r="AV29" s="1261"/>
      <c r="AW29" s="1261"/>
      <c r="AX29" s="250" t="s">
        <v>299</v>
      </c>
      <c r="AY29" s="1255"/>
      <c r="AZ29" s="1255"/>
      <c r="BA29" s="433"/>
      <c r="BB29" s="248"/>
      <c r="BC29" s="248"/>
      <c r="BD29" s="248"/>
      <c r="BE29" s="248"/>
      <c r="BF29" s="248"/>
      <c r="BG29" s="248"/>
      <c r="BH29" s="248"/>
      <c r="BI29" s="248"/>
      <c r="BJ29" s="248"/>
      <c r="BK29" s="248"/>
      <c r="BL29" s="248"/>
      <c r="BM29" s="248"/>
      <c r="BN29" s="248"/>
      <c r="BO29" s="248"/>
      <c r="BP29" s="248"/>
      <c r="BQ29" s="248"/>
      <c r="BR29" s="248"/>
      <c r="BS29" s="248"/>
      <c r="BT29" s="256"/>
      <c r="BU29" s="801"/>
      <c r="BV29" s="808" t="str">
        <f>IF(OR(BU19=1,BU21=1),"","&gt; Anlagen bis "&amp;BU17&amp;" kWp sind von der EEG-Umlagepflicht befreit. ")</f>
        <v/>
      </c>
      <c r="BW29" s="243"/>
      <c r="BX29" s="243"/>
      <c r="BY29" s="243"/>
      <c r="BZ29" s="243"/>
      <c r="CA29" s="243"/>
      <c r="CB29" s="243"/>
      <c r="CC29" s="243"/>
      <c r="CD29" s="243"/>
      <c r="CE29" s="243"/>
      <c r="CF29" s="243"/>
      <c r="CG29" s="243"/>
      <c r="CH29" s="243"/>
      <c r="CI29" s="806"/>
      <c r="CJ29" s="256"/>
      <c r="CK29" s="248"/>
      <c r="CL29" s="248"/>
      <c r="CM29" s="442"/>
      <c r="CN29" s="432"/>
      <c r="CO29" s="1430"/>
      <c r="CP29" s="1431"/>
      <c r="CQ29" s="1431"/>
      <c r="CR29" s="1431"/>
      <c r="CS29" s="1431"/>
      <c r="CT29" s="1431"/>
      <c r="CU29" s="1431"/>
      <c r="CV29" s="1431"/>
      <c r="CW29" s="1431"/>
      <c r="CX29" s="1416"/>
      <c r="CY29" s="1416"/>
      <c r="CZ29" s="1416"/>
      <c r="DA29" s="1417"/>
      <c r="DB29" s="359"/>
      <c r="DC29" s="248"/>
      <c r="DD29" s="248"/>
      <c r="DE29" s="248"/>
      <c r="DF29" s="248"/>
      <c r="DG29" s="248"/>
      <c r="DH29" s="248"/>
      <c r="DI29" s="248"/>
      <c r="DJ29" s="248"/>
      <c r="DK29" s="248"/>
      <c r="DL29" s="248"/>
      <c r="DM29" s="248"/>
      <c r="DN29" s="248"/>
      <c r="DO29" s="248"/>
    </row>
    <row r="30" spans="1:119" s="6" customFormat="1" ht="2.4500000000000002" customHeight="1" thickTop="1" thickBot="1">
      <c r="A30" s="475"/>
      <c r="B30" s="477"/>
      <c r="C30" s="475"/>
      <c r="D30" s="475"/>
      <c r="E30" s="247"/>
      <c r="F30" s="524"/>
      <c r="G30" s="391"/>
      <c r="H30" s="505"/>
      <c r="I30" s="368"/>
      <c r="J30" s="510"/>
      <c r="K30" s="367"/>
      <c r="L30" s="367"/>
      <c r="M30" s="367"/>
      <c r="N30" s="367"/>
      <c r="O30" s="235"/>
      <c r="P30" s="370"/>
      <c r="Q30" s="370"/>
      <c r="R30" s="370"/>
      <c r="S30" s="264"/>
      <c r="T30" s="525"/>
      <c r="U30" s="257"/>
      <c r="V30" s="302"/>
      <c r="W30" s="300"/>
      <c r="X30" s="300"/>
      <c r="Y30" s="293"/>
      <c r="Z30" s="293"/>
      <c r="AA30" s="296"/>
      <c r="AB30" s="296"/>
      <c r="AC30" s="297"/>
      <c r="AD30" s="297"/>
      <c r="AE30" s="297"/>
      <c r="AF30" s="297"/>
      <c r="AG30" s="298"/>
      <c r="AH30" s="298"/>
      <c r="AI30" s="299"/>
      <c r="AJ30" s="299"/>
      <c r="AK30" s="295"/>
      <c r="AL30" s="248"/>
      <c r="AM30" s="248"/>
      <c r="AN30" s="327"/>
      <c r="AO30" s="391"/>
      <c r="AP30" s="233"/>
      <c r="AQ30" s="233"/>
      <c r="AR30" s="233"/>
      <c r="AS30" s="233"/>
      <c r="AT30" s="233"/>
      <c r="AU30" s="233"/>
      <c r="AV30" s="233"/>
      <c r="AW30" s="233"/>
      <c r="AX30" s="251"/>
      <c r="AY30" s="252"/>
      <c r="AZ30" s="252"/>
      <c r="BA30" s="409"/>
      <c r="BB30" s="248"/>
      <c r="BC30" s="248"/>
      <c r="BD30" s="248"/>
      <c r="BE30" s="260"/>
      <c r="BF30" s="261"/>
      <c r="BG30" s="261"/>
      <c r="BH30" s="261"/>
      <c r="BI30" s="261"/>
      <c r="BJ30" s="262"/>
      <c r="BK30" s="262"/>
      <c r="BL30" s="262"/>
      <c r="BM30" s="262"/>
      <c r="BN30" s="262"/>
      <c r="BO30" s="262"/>
      <c r="BP30" s="262"/>
      <c r="BQ30" s="262"/>
      <c r="BR30" s="263"/>
      <c r="BS30" s="248"/>
      <c r="BT30" s="256"/>
      <c r="BU30" s="801"/>
      <c r="BV30" s="807"/>
      <c r="BW30" s="243"/>
      <c r="BX30" s="243"/>
      <c r="BY30" s="243"/>
      <c r="BZ30" s="243"/>
      <c r="CA30" s="243"/>
      <c r="CB30" s="243"/>
      <c r="CC30" s="243"/>
      <c r="CD30" s="243"/>
      <c r="CE30" s="243"/>
      <c r="CF30" s="243"/>
      <c r="CG30" s="243"/>
      <c r="CH30" s="243"/>
      <c r="CI30" s="806"/>
      <c r="CJ30" s="256"/>
      <c r="CK30" s="248"/>
      <c r="CL30" s="248"/>
      <c r="CM30" s="442"/>
      <c r="CN30" s="432"/>
      <c r="CO30" s="432"/>
      <c r="CP30" s="361"/>
      <c r="CQ30" s="361"/>
      <c r="CR30" s="735"/>
      <c r="CS30" s="735"/>
      <c r="CT30" s="735"/>
      <c r="CU30" s="735"/>
      <c r="CV30" s="735"/>
      <c r="CW30" s="735"/>
      <c r="CX30" s="298"/>
      <c r="CY30" s="298"/>
      <c r="CZ30" s="298"/>
      <c r="DA30" s="298"/>
      <c r="DB30" s="359"/>
      <c r="DC30" s="248"/>
      <c r="DD30" s="248"/>
      <c r="DE30" s="248"/>
      <c r="DF30" s="248"/>
      <c r="DG30" s="248"/>
      <c r="DH30" s="248"/>
      <c r="DI30" s="248"/>
      <c r="DJ30" s="248"/>
      <c r="DK30" s="248"/>
      <c r="DL30" s="248"/>
      <c r="DM30" s="248"/>
      <c r="DN30" s="248"/>
      <c r="DO30" s="248"/>
    </row>
    <row r="31" spans="1:119" s="6" customFormat="1" ht="11.85" customHeight="1" thickTop="1">
      <c r="A31" s="475"/>
      <c r="B31" s="1379" t="s">
        <v>272</v>
      </c>
      <c r="C31" s="1380"/>
      <c r="D31" s="475"/>
      <c r="E31" s="247"/>
      <c r="F31" s="524"/>
      <c r="G31" s="391"/>
      <c r="H31" s="507" t="s">
        <v>353</v>
      </c>
      <c r="I31" s="487"/>
      <c r="J31" s="510"/>
      <c r="K31" s="367"/>
      <c r="L31" s="367"/>
      <c r="M31" s="1387">
        <f>ZRB!G21</f>
        <v>20</v>
      </c>
      <c r="N31" s="1388"/>
      <c r="O31" s="235"/>
      <c r="P31" s="235"/>
      <c r="Q31" s="235"/>
      <c r="R31" s="235"/>
      <c r="S31" s="264"/>
      <c r="T31" s="525"/>
      <c r="U31" s="257"/>
      <c r="V31" s="1348">
        <f>Grafik_Ertrag!E27</f>
        <v>0</v>
      </c>
      <c r="W31" s="1349"/>
      <c r="X31" s="1349"/>
      <c r="Y31" s="293"/>
      <c r="Z31" s="293"/>
      <c r="AA31" s="296"/>
      <c r="AB31" s="296"/>
      <c r="AC31" s="297"/>
      <c r="AD31" s="297"/>
      <c r="AE31" s="297"/>
      <c r="AF31" s="297"/>
      <c r="AG31" s="298"/>
      <c r="AH31" s="298"/>
      <c r="AI31" s="299"/>
      <c r="AJ31" s="299"/>
      <c r="AK31" s="295"/>
      <c r="AL31" s="248"/>
      <c r="AM31" s="248"/>
      <c r="AN31" s="327"/>
      <c r="AO31" s="391"/>
      <c r="AP31" s="1261"/>
      <c r="AQ31" s="1261"/>
      <c r="AR31" s="1261"/>
      <c r="AS31" s="1261"/>
      <c r="AT31" s="1261"/>
      <c r="AU31" s="1261"/>
      <c r="AV31" s="1261"/>
      <c r="AW31" s="1261"/>
      <c r="AX31" s="250" t="s">
        <v>299</v>
      </c>
      <c r="AY31" s="1255"/>
      <c r="AZ31" s="1255"/>
      <c r="BA31" s="433"/>
      <c r="BB31" s="248"/>
      <c r="BC31" s="248"/>
      <c r="BD31" s="248"/>
      <c r="BE31" s="1265" t="s">
        <v>374</v>
      </c>
      <c r="BF31" s="1266"/>
      <c r="BG31" s="1266"/>
      <c r="BH31" s="1266"/>
      <c r="BI31" s="1266"/>
      <c r="BJ31" s="1266"/>
      <c r="BK31" s="1266"/>
      <c r="BL31" s="1266"/>
      <c r="BM31" s="1266"/>
      <c r="BN31" s="1266"/>
      <c r="BO31" s="1266"/>
      <c r="BP31" s="1266"/>
      <c r="BQ31" s="1266"/>
      <c r="BR31" s="1267"/>
      <c r="BS31" s="248"/>
      <c r="BT31" s="256"/>
      <c r="BU31" s="801"/>
      <c r="BV31" s="808" t="str">
        <f>IF(OR(BU19=1,BU21=1),"","   Befreit sind allerdings max. "&amp;BU17&amp;".000 kWh ("&amp;BU17&amp;" MWh) selbst verbrauchten Stroms.")</f>
        <v/>
      </c>
      <c r="BW31" s="243"/>
      <c r="BX31" s="243"/>
      <c r="BY31" s="243"/>
      <c r="BZ31" s="243"/>
      <c r="CA31" s="243"/>
      <c r="CB31" s="243"/>
      <c r="CC31" s="243"/>
      <c r="CD31" s="243"/>
      <c r="CE31" s="243"/>
      <c r="CF31" s="243"/>
      <c r="CG31" s="243"/>
      <c r="CH31" s="243"/>
      <c r="CI31" s="806"/>
      <c r="CJ31" s="256"/>
      <c r="CK31" s="248"/>
      <c r="CL31" s="248"/>
      <c r="CM31" s="1323" t="s">
        <v>286</v>
      </c>
      <c r="CN31" s="1324"/>
      <c r="CO31" s="464"/>
      <c r="CP31" s="360"/>
      <c r="CQ31" s="360"/>
      <c r="CR31" s="360"/>
      <c r="CS31" s="360"/>
      <c r="CT31" s="360"/>
      <c r="CU31" s="360"/>
      <c r="CV31" s="360"/>
      <c r="CW31" s="360"/>
      <c r="CX31" s="360"/>
      <c r="CY31" s="360"/>
      <c r="CZ31" s="360"/>
      <c r="DA31" s="298"/>
      <c r="DB31" s="359"/>
      <c r="DC31" s="248"/>
      <c r="DD31" s="248"/>
      <c r="DE31" s="248"/>
      <c r="DF31" s="248"/>
      <c r="DG31" s="248"/>
      <c r="DH31" s="248"/>
      <c r="DI31" s="248"/>
      <c r="DJ31" s="248"/>
      <c r="DK31" s="248"/>
      <c r="DL31" s="248"/>
      <c r="DM31" s="248"/>
      <c r="DN31" s="248"/>
      <c r="DO31" s="248"/>
    </row>
    <row r="32" spans="1:119" s="6" customFormat="1" ht="2.4500000000000002" customHeight="1">
      <c r="A32" s="475"/>
      <c r="B32" s="1381"/>
      <c r="C32" s="1382"/>
      <c r="D32" s="475"/>
      <c r="E32" s="247"/>
      <c r="F32" s="524"/>
      <c r="G32" s="391"/>
      <c r="H32" s="507"/>
      <c r="I32" s="516"/>
      <c r="J32" s="510"/>
      <c r="K32" s="367"/>
      <c r="L32" s="367"/>
      <c r="M32" s="367"/>
      <c r="N32" s="367"/>
      <c r="O32" s="235"/>
      <c r="P32" s="515"/>
      <c r="Q32" s="515"/>
      <c r="R32" s="515"/>
      <c r="S32" s="264"/>
      <c r="T32" s="525"/>
      <c r="U32" s="257"/>
      <c r="V32" s="1348"/>
      <c r="W32" s="1349"/>
      <c r="X32" s="1349"/>
      <c r="Y32" s="293"/>
      <c r="Z32" s="293"/>
      <c r="AA32" s="296"/>
      <c r="AB32" s="296"/>
      <c r="AC32" s="297"/>
      <c r="AD32" s="297"/>
      <c r="AE32" s="297"/>
      <c r="AF32" s="297"/>
      <c r="AG32" s="298"/>
      <c r="AH32" s="298"/>
      <c r="AI32" s="299"/>
      <c r="AJ32" s="299"/>
      <c r="AK32" s="295"/>
      <c r="AL32" s="248"/>
      <c r="AM32" s="248"/>
      <c r="AN32" s="327"/>
      <c r="AO32" s="391"/>
      <c r="AP32" s="233"/>
      <c r="AQ32" s="233"/>
      <c r="AR32" s="233"/>
      <c r="AS32" s="233"/>
      <c r="AT32" s="233"/>
      <c r="AU32" s="233"/>
      <c r="AV32" s="233"/>
      <c r="AW32" s="233"/>
      <c r="AX32" s="251"/>
      <c r="AY32" s="252"/>
      <c r="AZ32" s="252"/>
      <c r="BA32" s="409"/>
      <c r="BB32" s="248"/>
      <c r="BC32" s="248"/>
      <c r="BD32" s="248"/>
      <c r="BE32" s="1265"/>
      <c r="BF32" s="1266"/>
      <c r="BG32" s="1266"/>
      <c r="BH32" s="1266"/>
      <c r="BI32" s="1266"/>
      <c r="BJ32" s="1266"/>
      <c r="BK32" s="1266"/>
      <c r="BL32" s="1266"/>
      <c r="BM32" s="1266"/>
      <c r="BN32" s="1266"/>
      <c r="BO32" s="1266"/>
      <c r="BP32" s="1266"/>
      <c r="BQ32" s="1266"/>
      <c r="BR32" s="1267"/>
      <c r="BS32" s="248"/>
      <c r="BT32" s="256"/>
      <c r="BU32" s="801"/>
      <c r="BV32" s="805"/>
      <c r="BW32" s="243"/>
      <c r="BX32" s="243"/>
      <c r="BY32" s="243"/>
      <c r="BZ32" s="243"/>
      <c r="CA32" s="243"/>
      <c r="CB32" s="243"/>
      <c r="CC32" s="243"/>
      <c r="CD32" s="243"/>
      <c r="CE32" s="243"/>
      <c r="CF32" s="243"/>
      <c r="CG32" s="243"/>
      <c r="CH32" s="243"/>
      <c r="CI32" s="806"/>
      <c r="CJ32" s="256"/>
      <c r="CK32" s="248"/>
      <c r="CL32" s="248"/>
      <c r="CM32" s="1323"/>
      <c r="CN32" s="1324"/>
      <c r="CO32" s="464"/>
      <c r="CP32" s="360"/>
      <c r="CQ32" s="458"/>
      <c r="CR32" s="458"/>
      <c r="CS32" s="458"/>
      <c r="CT32" s="458"/>
      <c r="CU32" s="458"/>
      <c r="CV32" s="458"/>
      <c r="CW32" s="458"/>
      <c r="CX32" s="458"/>
      <c r="CY32" s="458"/>
      <c r="CZ32" s="458"/>
      <c r="DA32" s="457"/>
      <c r="DB32" s="359"/>
      <c r="DC32" s="248"/>
      <c r="DD32" s="248"/>
      <c r="DE32" s="248"/>
      <c r="DF32" s="248"/>
      <c r="DG32" s="248"/>
      <c r="DH32" s="248"/>
      <c r="DI32" s="248"/>
      <c r="DJ32" s="248"/>
      <c r="DK32" s="248"/>
      <c r="DL32" s="248"/>
      <c r="DM32" s="248"/>
      <c r="DN32" s="248"/>
      <c r="DO32" s="248"/>
    </row>
    <row r="33" spans="1:119" s="6" customFormat="1" ht="11.85" customHeight="1">
      <c r="A33" s="475"/>
      <c r="B33" s="1381"/>
      <c r="C33" s="1382"/>
      <c r="D33" s="475"/>
      <c r="E33" s="247"/>
      <c r="F33" s="524"/>
      <c r="G33" s="391"/>
      <c r="H33" s="507" t="str">
        <f>"Ertrag im "&amp;E35&amp;". Jahr"</f>
        <v>Ertrag im 20. Jahr</v>
      </c>
      <c r="I33" s="516"/>
      <c r="J33" s="510"/>
      <c r="K33" s="367"/>
      <c r="L33" s="367"/>
      <c r="M33" s="367"/>
      <c r="N33" s="367"/>
      <c r="O33" s="235"/>
      <c r="P33" s="1355">
        <f>ZRB!G22</f>
        <v>0</v>
      </c>
      <c r="Q33" s="1355"/>
      <c r="R33" s="1355"/>
      <c r="S33" s="264"/>
      <c r="T33" s="525"/>
      <c r="U33" s="257"/>
      <c r="V33" s="1348"/>
      <c r="W33" s="1349"/>
      <c r="X33" s="1349"/>
      <c r="Y33" s="293"/>
      <c r="Z33" s="293"/>
      <c r="AA33" s="296"/>
      <c r="AB33" s="296"/>
      <c r="AC33" s="297"/>
      <c r="AD33" s="297"/>
      <c r="AE33" s="297"/>
      <c r="AF33" s="297"/>
      <c r="AG33" s="298"/>
      <c r="AH33" s="298"/>
      <c r="AI33" s="299"/>
      <c r="AJ33" s="299"/>
      <c r="AK33" s="295"/>
      <c r="AL33" s="248"/>
      <c r="AM33" s="248"/>
      <c r="AN33" s="247">
        <f>ZRB!G91</f>
        <v>20</v>
      </c>
      <c r="AO33" s="391"/>
      <c r="AP33" s="1261"/>
      <c r="AQ33" s="1261"/>
      <c r="AR33" s="1261"/>
      <c r="AS33" s="1261"/>
      <c r="AT33" s="1261"/>
      <c r="AU33" s="1261"/>
      <c r="AV33" s="1261"/>
      <c r="AW33" s="1261"/>
      <c r="AX33" s="250" t="s">
        <v>299</v>
      </c>
      <c r="AY33" s="1255"/>
      <c r="AZ33" s="1255"/>
      <c r="BA33" s="433"/>
      <c r="BB33" s="248"/>
      <c r="BC33" s="248"/>
      <c r="BD33" s="248"/>
      <c r="BE33" s="1265"/>
      <c r="BF33" s="1266"/>
      <c r="BG33" s="1266"/>
      <c r="BH33" s="1266"/>
      <c r="BI33" s="1266"/>
      <c r="BJ33" s="1266"/>
      <c r="BK33" s="1266"/>
      <c r="BL33" s="1266"/>
      <c r="BM33" s="1266"/>
      <c r="BN33" s="1266"/>
      <c r="BO33" s="1266"/>
      <c r="BP33" s="1266"/>
      <c r="BQ33" s="1266"/>
      <c r="BR33" s="1267"/>
      <c r="BS33" s="248"/>
      <c r="BT33" s="256"/>
      <c r="BU33" s="801"/>
      <c r="BV33" s="808" t="str">
        <f>IF(OR(BU19=1,BU21=1),"","&gt; Bestandsanlagen sind von der EEG-Umlagepflicht befreit (mit gewissen Einschränkungen)")</f>
        <v/>
      </c>
      <c r="BW33" s="243"/>
      <c r="BX33" s="243"/>
      <c r="BY33" s="243"/>
      <c r="BZ33" s="243"/>
      <c r="CA33" s="243"/>
      <c r="CB33" s="243"/>
      <c r="CC33" s="243"/>
      <c r="CD33" s="243"/>
      <c r="CE33" s="243"/>
      <c r="CF33" s="243"/>
      <c r="CG33" s="243"/>
      <c r="CH33" s="243"/>
      <c r="CI33" s="806"/>
      <c r="CJ33" s="256"/>
      <c r="CK33" s="248"/>
      <c r="CL33" s="248"/>
      <c r="CM33" s="1323"/>
      <c r="CN33" s="1324"/>
      <c r="CO33" s="464"/>
      <c r="CP33" s="360"/>
      <c r="CQ33" s="458"/>
      <c r="CR33" s="458"/>
      <c r="CS33" s="458"/>
      <c r="CT33" s="458"/>
      <c r="CU33" s="458"/>
      <c r="CV33" s="458"/>
      <c r="CW33" s="458"/>
      <c r="CX33" s="458"/>
      <c r="CY33" s="458"/>
      <c r="CZ33" s="458"/>
      <c r="DA33" s="457"/>
      <c r="DB33" s="359"/>
      <c r="DC33" s="248"/>
      <c r="DD33" s="248"/>
      <c r="DE33" s="248"/>
      <c r="DF33" s="248"/>
      <c r="DG33" s="248"/>
      <c r="DH33" s="248"/>
      <c r="DI33" s="248"/>
      <c r="DJ33" s="248"/>
      <c r="DK33" s="248"/>
      <c r="DL33" s="248"/>
      <c r="DM33" s="248"/>
      <c r="DN33" s="248"/>
      <c r="DO33" s="248"/>
    </row>
    <row r="34" spans="1:119" s="6" customFormat="1" ht="2.4500000000000002" customHeight="1">
      <c r="A34" s="475"/>
      <c r="B34" s="1381"/>
      <c r="C34" s="1382"/>
      <c r="D34" s="475"/>
      <c r="E34" s="247"/>
      <c r="F34" s="524"/>
      <c r="G34" s="392"/>
      <c r="H34" s="237"/>
      <c r="I34" s="237"/>
      <c r="J34" s="237"/>
      <c r="K34" s="237"/>
      <c r="L34" s="237"/>
      <c r="M34" s="237"/>
      <c r="N34" s="237"/>
      <c r="O34" s="237"/>
      <c r="P34" s="237"/>
      <c r="Q34" s="237"/>
      <c r="R34" s="237"/>
      <c r="S34" s="393"/>
      <c r="T34" s="525"/>
      <c r="U34" s="257"/>
      <c r="V34" s="302"/>
      <c r="W34" s="300"/>
      <c r="X34" s="300"/>
      <c r="Y34" s="293"/>
      <c r="Z34" s="293"/>
      <c r="AA34" s="296"/>
      <c r="AB34" s="296"/>
      <c r="AC34" s="297"/>
      <c r="AD34" s="297"/>
      <c r="AE34" s="297"/>
      <c r="AF34" s="297"/>
      <c r="AG34" s="298"/>
      <c r="AH34" s="298"/>
      <c r="AI34" s="299"/>
      <c r="AJ34" s="299"/>
      <c r="AK34" s="295"/>
      <c r="AL34" s="248"/>
      <c r="AM34" s="248"/>
      <c r="AN34" s="327"/>
      <c r="AO34" s="399"/>
      <c r="AP34" s="253"/>
      <c r="AQ34" s="253"/>
      <c r="AR34" s="253"/>
      <c r="AS34" s="253"/>
      <c r="AT34" s="253"/>
      <c r="AU34" s="253"/>
      <c r="AV34" s="253"/>
      <c r="AW34" s="253"/>
      <c r="AX34" s="331"/>
      <c r="AY34" s="408"/>
      <c r="AZ34" s="408"/>
      <c r="BA34" s="410"/>
      <c r="BB34" s="248"/>
      <c r="BC34" s="248"/>
      <c r="BD34" s="248"/>
      <c r="BE34" s="547"/>
      <c r="BF34" s="548"/>
      <c r="BG34" s="548"/>
      <c r="BH34" s="548"/>
      <c r="BI34" s="548"/>
      <c r="BJ34" s="548"/>
      <c r="BK34" s="548"/>
      <c r="BL34" s="548"/>
      <c r="BM34" s="548"/>
      <c r="BN34" s="548"/>
      <c r="BO34" s="548"/>
      <c r="BP34" s="548"/>
      <c r="BQ34" s="548"/>
      <c r="BR34" s="549"/>
      <c r="BS34" s="248"/>
      <c r="BT34" s="256"/>
      <c r="BU34" s="801"/>
      <c r="BV34" s="807"/>
      <c r="BW34" s="256"/>
      <c r="BX34" s="256"/>
      <c r="BY34" s="256"/>
      <c r="BZ34" s="256"/>
      <c r="CA34" s="256"/>
      <c r="CB34" s="256"/>
      <c r="CC34" s="256"/>
      <c r="CD34" s="256"/>
      <c r="CE34" s="256"/>
      <c r="CF34" s="256"/>
      <c r="CG34" s="256"/>
      <c r="CH34" s="256"/>
      <c r="CI34" s="804"/>
      <c r="CJ34" s="256"/>
      <c r="CK34" s="248"/>
      <c r="CL34" s="248"/>
      <c r="CM34" s="1323"/>
      <c r="CN34" s="1324"/>
      <c r="CO34" s="464"/>
      <c r="CP34" s="360"/>
      <c r="CQ34" s="458"/>
      <c r="CR34" s="458"/>
      <c r="CS34" s="458"/>
      <c r="CT34" s="458"/>
      <c r="CU34" s="458"/>
      <c r="CV34" s="458"/>
      <c r="CW34" s="458"/>
      <c r="CX34" s="458"/>
      <c r="CY34" s="458"/>
      <c r="CZ34" s="458"/>
      <c r="DA34" s="457"/>
      <c r="DB34" s="359"/>
      <c r="DC34" s="248"/>
      <c r="DD34" s="248"/>
      <c r="DE34" s="248"/>
      <c r="DF34" s="248"/>
      <c r="DG34" s="248"/>
      <c r="DH34" s="248"/>
      <c r="DI34" s="248"/>
      <c r="DJ34" s="248"/>
      <c r="DK34" s="248"/>
      <c r="DL34" s="248"/>
      <c r="DM34" s="248"/>
      <c r="DN34" s="248"/>
      <c r="DO34" s="248"/>
    </row>
    <row r="35" spans="1:119" s="6" customFormat="1" ht="11.85" customHeight="1" thickBot="1">
      <c r="A35" s="475"/>
      <c r="B35" s="1377" t="s">
        <v>356</v>
      </c>
      <c r="C35" s="1378"/>
      <c r="D35" s="475"/>
      <c r="E35" s="247">
        <f>ZRB!G21</f>
        <v>20</v>
      </c>
      <c r="F35" s="524"/>
      <c r="G35" s="484"/>
      <c r="H35" s="485"/>
      <c r="I35" s="485"/>
      <c r="J35" s="485"/>
      <c r="K35" s="485"/>
      <c r="L35" s="485"/>
      <c r="M35" s="485"/>
      <c r="N35" s="485"/>
      <c r="O35" s="485"/>
      <c r="P35" s="485"/>
      <c r="Q35" s="485"/>
      <c r="R35" s="485"/>
      <c r="S35" s="486"/>
      <c r="T35" s="525"/>
      <c r="U35" s="257"/>
      <c r="V35" s="1348">
        <v>0</v>
      </c>
      <c r="W35" s="1349"/>
      <c r="X35" s="1349"/>
      <c r="Y35" s="293"/>
      <c r="Z35" s="293"/>
      <c r="AA35" s="296"/>
      <c r="AB35" s="296"/>
      <c r="AC35" s="297"/>
      <c r="AD35" s="297"/>
      <c r="AE35" s="297"/>
      <c r="AF35" s="297"/>
      <c r="AG35" s="298"/>
      <c r="AH35" s="298"/>
      <c r="AI35" s="299"/>
      <c r="AJ35" s="299"/>
      <c r="AK35" s="295"/>
      <c r="AL35" s="248"/>
      <c r="AM35" s="248"/>
      <c r="AN35" s="247">
        <f>ZRB!G90</f>
        <v>20</v>
      </c>
      <c r="AO35" s="149"/>
      <c r="AP35" s="149"/>
      <c r="AQ35" s="149"/>
      <c r="AR35" s="149"/>
      <c r="AS35" s="149"/>
      <c r="AT35" s="149"/>
      <c r="AU35" s="149"/>
      <c r="AV35" s="149"/>
      <c r="AW35" s="149"/>
      <c r="AX35" s="149"/>
      <c r="AY35" s="149"/>
      <c r="AZ35" s="149"/>
      <c r="BA35" s="149"/>
      <c r="BB35" s="248"/>
      <c r="BC35" s="248"/>
      <c r="BD35" s="555">
        <f>ZRB!G92</f>
        <v>1</v>
      </c>
      <c r="BE35" s="547"/>
      <c r="BF35" s="548"/>
      <c r="BG35" s="548"/>
      <c r="BH35" s="548"/>
      <c r="BI35" s="548"/>
      <c r="BJ35" s="548"/>
      <c r="BK35" s="548"/>
      <c r="BL35" s="548"/>
      <c r="BM35" s="548"/>
      <c r="BN35" s="548"/>
      <c r="BO35" s="548"/>
      <c r="BP35" s="548"/>
      <c r="BQ35" s="548"/>
      <c r="BR35" s="549"/>
      <c r="BS35" s="248"/>
      <c r="BT35" s="256"/>
      <c r="BU35" s="801"/>
      <c r="BV35" s="810"/>
      <c r="BW35" s="243"/>
      <c r="BX35" s="243"/>
      <c r="BY35" s="243"/>
      <c r="BZ35" s="243"/>
      <c r="CA35" s="243"/>
      <c r="CB35" s="243"/>
      <c r="CC35" s="243"/>
      <c r="CD35" s="243"/>
      <c r="CE35" s="243"/>
      <c r="CF35" s="243"/>
      <c r="CG35" s="243"/>
      <c r="CH35" s="243"/>
      <c r="CI35" s="806"/>
      <c r="CJ35" s="256"/>
      <c r="CK35" s="248"/>
      <c r="CL35" s="248"/>
      <c r="CM35" s="1323"/>
      <c r="CN35" s="1324"/>
      <c r="CO35" s="464"/>
      <c r="CP35" s="360"/>
      <c r="CQ35" s="458"/>
      <c r="CR35" s="458"/>
      <c r="CS35" s="458"/>
      <c r="CT35" s="458"/>
      <c r="CU35" s="458"/>
      <c r="CV35" s="458"/>
      <c r="CW35" s="458"/>
      <c r="CX35" s="458"/>
      <c r="CY35" s="458"/>
      <c r="CZ35" s="458"/>
      <c r="DA35" s="457"/>
      <c r="DB35" s="359"/>
      <c r="DC35" s="248"/>
      <c r="DD35" s="248"/>
      <c r="DE35" s="248"/>
      <c r="DF35" s="248"/>
      <c r="DG35" s="248"/>
      <c r="DH35" s="248"/>
      <c r="DI35" s="248"/>
      <c r="DJ35" s="248"/>
      <c r="DK35" s="248"/>
      <c r="DL35" s="248"/>
      <c r="DM35" s="248"/>
      <c r="DN35" s="248"/>
      <c r="DO35" s="248"/>
    </row>
    <row r="36" spans="1:119" s="6" customFormat="1" ht="2.4500000000000002" customHeight="1" thickTop="1">
      <c r="A36" s="475"/>
      <c r="B36" s="477"/>
      <c r="C36" s="475"/>
      <c r="D36" s="475"/>
      <c r="E36" s="247"/>
      <c r="F36" s="524"/>
      <c r="G36" s="260"/>
      <c r="H36" s="261"/>
      <c r="I36" s="261"/>
      <c r="J36" s="261"/>
      <c r="K36" s="261"/>
      <c r="L36" s="261"/>
      <c r="M36" s="261"/>
      <c r="N36" s="261"/>
      <c r="O36" s="262"/>
      <c r="P36" s="262"/>
      <c r="Q36" s="262"/>
      <c r="R36" s="262"/>
      <c r="S36" s="263"/>
      <c r="T36" s="525"/>
      <c r="U36" s="257"/>
      <c r="V36" s="1348"/>
      <c r="W36" s="1349"/>
      <c r="X36" s="1349"/>
      <c r="Y36" s="293"/>
      <c r="Z36" s="293"/>
      <c r="AA36" s="296"/>
      <c r="AB36" s="296"/>
      <c r="AC36" s="297"/>
      <c r="AD36" s="297"/>
      <c r="AE36" s="297"/>
      <c r="AF36" s="297"/>
      <c r="AG36" s="298"/>
      <c r="AH36" s="298"/>
      <c r="AI36" s="299"/>
      <c r="AJ36" s="299"/>
      <c r="AK36" s="295"/>
      <c r="AL36" s="248"/>
      <c r="AM36" s="248"/>
      <c r="AN36" s="327"/>
      <c r="AO36" s="260"/>
      <c r="AP36" s="261"/>
      <c r="AQ36" s="261"/>
      <c r="AR36" s="261"/>
      <c r="AS36" s="261"/>
      <c r="AT36" s="261"/>
      <c r="AU36" s="262"/>
      <c r="AV36" s="262"/>
      <c r="AW36" s="262"/>
      <c r="AX36" s="262"/>
      <c r="AY36" s="262"/>
      <c r="AZ36" s="262"/>
      <c r="BA36" s="263"/>
      <c r="BB36" s="248"/>
      <c r="BC36" s="248"/>
      <c r="BD36" s="248"/>
      <c r="BE36" s="1290" t="s">
        <v>371</v>
      </c>
      <c r="BF36" s="1291"/>
      <c r="BG36" s="1291"/>
      <c r="BH36" s="1291"/>
      <c r="BI36" s="1291"/>
      <c r="BJ36" s="1291"/>
      <c r="BK36" s="1291"/>
      <c r="BL36" s="1291"/>
      <c r="BM36" s="1291"/>
      <c r="BN36" s="1291"/>
      <c r="BO36" s="1289">
        <f>IF($AN$13=1,"",ZRB!G83)</f>
        <v>0</v>
      </c>
      <c r="BP36" s="1289"/>
      <c r="BQ36" s="1289"/>
      <c r="BR36" s="329"/>
      <c r="BS36" s="248"/>
      <c r="BT36" s="256"/>
      <c r="BU36" s="801"/>
      <c r="BV36" s="805"/>
      <c r="BW36" s="243"/>
      <c r="BX36" s="243"/>
      <c r="BY36" s="243"/>
      <c r="BZ36" s="243"/>
      <c r="CA36" s="243"/>
      <c r="CB36" s="243"/>
      <c r="CC36" s="243"/>
      <c r="CD36" s="243"/>
      <c r="CE36" s="243"/>
      <c r="CF36" s="243"/>
      <c r="CG36" s="243"/>
      <c r="CH36" s="243"/>
      <c r="CI36" s="243"/>
      <c r="CJ36" s="256"/>
      <c r="CK36" s="248"/>
      <c r="CL36" s="248"/>
      <c r="CM36" s="1323"/>
      <c r="CN36" s="1324"/>
      <c r="CO36" s="464"/>
      <c r="CP36" s="360"/>
      <c r="CQ36" s="458"/>
      <c r="CR36" s="458"/>
      <c r="CS36" s="458"/>
      <c r="CT36" s="458"/>
      <c r="CU36" s="458"/>
      <c r="CV36" s="458"/>
      <c r="CW36" s="458"/>
      <c r="CX36" s="458"/>
      <c r="CY36" s="458"/>
      <c r="CZ36" s="458"/>
      <c r="DA36" s="457"/>
      <c r="DB36" s="359"/>
      <c r="DC36" s="248"/>
      <c r="DD36" s="248"/>
      <c r="DE36" s="248"/>
      <c r="DF36" s="248"/>
      <c r="DG36" s="248"/>
      <c r="DH36" s="248"/>
      <c r="DI36" s="248"/>
      <c r="DJ36" s="248"/>
      <c r="DK36" s="248"/>
      <c r="DL36" s="248"/>
      <c r="DM36" s="248"/>
      <c r="DN36" s="248"/>
      <c r="DO36" s="248"/>
    </row>
    <row r="37" spans="1:119" s="6" customFormat="1" ht="11.85" customHeight="1">
      <c r="A37" s="475"/>
      <c r="B37" s="477"/>
      <c r="C37" s="475"/>
      <c r="D37" s="475"/>
      <c r="E37" s="247"/>
      <c r="F37" s="524"/>
      <c r="G37" s="1370" t="s">
        <v>343</v>
      </c>
      <c r="H37" s="1371"/>
      <c r="I37" s="1371"/>
      <c r="J37" s="1371"/>
      <c r="K37" s="1371"/>
      <c r="L37" s="520"/>
      <c r="M37" s="520"/>
      <c r="N37" s="520"/>
      <c r="O37" s="520"/>
      <c r="P37" s="1373">
        <f>ZRB!G57</f>
        <v>0</v>
      </c>
      <c r="Q37" s="1373"/>
      <c r="R37" s="1373"/>
      <c r="S37" s="522"/>
      <c r="T37" s="525"/>
      <c r="U37" s="257"/>
      <c r="V37" s="1348"/>
      <c r="W37" s="1349"/>
      <c r="X37" s="1349"/>
      <c r="Y37" s="1350" t="s">
        <v>127</v>
      </c>
      <c r="Z37" s="1350" t="s">
        <v>129</v>
      </c>
      <c r="AA37" s="1350" t="s">
        <v>145</v>
      </c>
      <c r="AB37" s="1350" t="s">
        <v>131</v>
      </c>
      <c r="AC37" s="1350" t="s">
        <v>132</v>
      </c>
      <c r="AD37" s="1350" t="s">
        <v>133</v>
      </c>
      <c r="AE37" s="1350" t="s">
        <v>134</v>
      </c>
      <c r="AF37" s="1350" t="s">
        <v>135</v>
      </c>
      <c r="AG37" s="1350" t="s">
        <v>136</v>
      </c>
      <c r="AH37" s="1350" t="s">
        <v>137</v>
      </c>
      <c r="AI37" s="1350" t="s">
        <v>138</v>
      </c>
      <c r="AJ37" s="1350" t="s">
        <v>139</v>
      </c>
      <c r="AK37" s="295"/>
      <c r="AL37" s="266"/>
      <c r="AM37" s="266"/>
      <c r="AN37" s="413">
        <f>IF(AN35&gt;AN33,0,1)</f>
        <v>1</v>
      </c>
      <c r="AO37" s="1281" t="s">
        <v>300</v>
      </c>
      <c r="AP37" s="1282"/>
      <c r="AQ37" s="1282"/>
      <c r="AR37" s="1282"/>
      <c r="AS37" s="1282"/>
      <c r="AT37" s="1282"/>
      <c r="AU37" s="1282"/>
      <c r="AV37" s="1282"/>
      <c r="AW37" s="1282"/>
      <c r="AX37" s="1260">
        <f>ROUND(ZRB!G80,0)</f>
        <v>0</v>
      </c>
      <c r="AY37" s="1260"/>
      <c r="AZ37" s="1260"/>
      <c r="BA37" s="278"/>
      <c r="BB37" s="266"/>
      <c r="BC37" s="266"/>
      <c r="BD37" s="266"/>
      <c r="BE37" s="1290"/>
      <c r="BF37" s="1291"/>
      <c r="BG37" s="1291"/>
      <c r="BH37" s="1291"/>
      <c r="BI37" s="1291"/>
      <c r="BJ37" s="1291"/>
      <c r="BK37" s="1291"/>
      <c r="BL37" s="1291"/>
      <c r="BM37" s="1291"/>
      <c r="BN37" s="1291"/>
      <c r="BO37" s="1289"/>
      <c r="BP37" s="1289"/>
      <c r="BQ37" s="1289"/>
      <c r="BR37" s="447"/>
      <c r="BS37" s="266"/>
      <c r="BT37" s="256"/>
      <c r="BU37" s="801"/>
      <c r="BV37" s="808" t="str">
        <f>IF(OR(BU19=1,BU21=1),"","Nach § 61 Abs.1 und 2 (EEG 2014) können Übertragungsnetzbetreiber von Letztverbrauchern ")</f>
        <v/>
      </c>
      <c r="BW37" s="243"/>
      <c r="BX37" s="243"/>
      <c r="BY37" s="243"/>
      <c r="BZ37" s="243"/>
      <c r="CA37" s="243"/>
      <c r="CB37" s="243"/>
      <c r="CC37" s="243"/>
      <c r="CD37" s="243"/>
      <c r="CE37" s="243"/>
      <c r="CF37" s="243"/>
      <c r="CG37" s="243"/>
      <c r="CH37" s="243"/>
      <c r="CI37" s="806"/>
      <c r="CJ37" s="256"/>
      <c r="CK37" s="266"/>
      <c r="CL37" s="266"/>
      <c r="CM37" s="1323"/>
      <c r="CN37" s="1324"/>
      <c r="CO37" s="464"/>
      <c r="CP37" s="360"/>
      <c r="CQ37" s="458"/>
      <c r="CR37" s="458"/>
      <c r="CS37" s="458"/>
      <c r="CT37" s="458"/>
      <c r="CU37" s="458"/>
      <c r="CV37" s="458"/>
      <c r="CW37" s="458"/>
      <c r="CX37" s="458"/>
      <c r="CY37" s="458"/>
      <c r="CZ37" s="458"/>
      <c r="DA37" s="457"/>
      <c r="DB37" s="359"/>
      <c r="DC37" s="266"/>
      <c r="DD37" s="266"/>
      <c r="DE37" s="266"/>
      <c r="DF37" s="266"/>
      <c r="DG37" s="266"/>
      <c r="DH37" s="266"/>
      <c r="DI37" s="266"/>
      <c r="DJ37" s="266"/>
      <c r="DK37" s="266"/>
      <c r="DL37" s="266"/>
      <c r="DM37" s="266"/>
      <c r="DN37" s="266"/>
      <c r="DO37" s="266"/>
    </row>
    <row r="38" spans="1:119" s="6" customFormat="1" ht="2.4500000000000002" customHeight="1" thickBot="1">
      <c r="A38" s="475"/>
      <c r="B38" s="477"/>
      <c r="C38" s="475"/>
      <c r="D38" s="475"/>
      <c r="E38" s="247"/>
      <c r="F38" s="524"/>
      <c r="G38" s="1370"/>
      <c r="H38" s="1371"/>
      <c r="I38" s="1371"/>
      <c r="J38" s="1371"/>
      <c r="K38" s="1371"/>
      <c r="L38" s="520"/>
      <c r="M38" s="520"/>
      <c r="N38" s="520"/>
      <c r="O38" s="520"/>
      <c r="P38" s="523"/>
      <c r="Q38" s="523"/>
      <c r="R38" s="523"/>
      <c r="S38" s="522"/>
      <c r="T38" s="525"/>
      <c r="U38" s="257"/>
      <c r="V38" s="1348"/>
      <c r="W38" s="1349"/>
      <c r="X38" s="1349"/>
      <c r="Y38" s="1351"/>
      <c r="Z38" s="1351"/>
      <c r="AA38" s="1351"/>
      <c r="AB38" s="1351"/>
      <c r="AC38" s="1351"/>
      <c r="AD38" s="1351"/>
      <c r="AE38" s="1351"/>
      <c r="AF38" s="1351"/>
      <c r="AG38" s="1351"/>
      <c r="AH38" s="1351"/>
      <c r="AI38" s="1351"/>
      <c r="AJ38" s="1351"/>
      <c r="AK38" s="295"/>
      <c r="AL38" s="248"/>
      <c r="AM38" s="248"/>
      <c r="AN38" s="327"/>
      <c r="AO38" s="1281"/>
      <c r="AP38" s="1282"/>
      <c r="AQ38" s="1282"/>
      <c r="AR38" s="1282"/>
      <c r="AS38" s="1282"/>
      <c r="AT38" s="1282"/>
      <c r="AU38" s="1282"/>
      <c r="AV38" s="1282"/>
      <c r="AW38" s="1282"/>
      <c r="AX38" s="1260"/>
      <c r="AY38" s="1260"/>
      <c r="AZ38" s="1260"/>
      <c r="BA38" s="278"/>
      <c r="BB38" s="248"/>
      <c r="BC38" s="248"/>
      <c r="BD38" s="248"/>
      <c r="BE38" s="394"/>
      <c r="BF38" s="517"/>
      <c r="BG38" s="517"/>
      <c r="BH38" s="517"/>
      <c r="BI38" s="517"/>
      <c r="BJ38" s="517"/>
      <c r="BK38" s="517"/>
      <c r="BL38" s="517"/>
      <c r="BM38" s="517"/>
      <c r="BN38" s="517"/>
      <c r="BO38" s="545"/>
      <c r="BP38" s="545"/>
      <c r="BQ38" s="545"/>
      <c r="BR38" s="447"/>
      <c r="BS38" s="248"/>
      <c r="BT38" s="256"/>
      <c r="BU38" s="801"/>
      <c r="BV38" s="807"/>
      <c r="BW38" s="243"/>
      <c r="BX38" s="243"/>
      <c r="BY38" s="243"/>
      <c r="BZ38" s="243"/>
      <c r="CA38" s="243"/>
      <c r="CB38" s="243"/>
      <c r="CC38" s="243"/>
      <c r="CD38" s="243"/>
      <c r="CE38" s="243"/>
      <c r="CF38" s="243"/>
      <c r="CG38" s="243"/>
      <c r="CH38" s="243"/>
      <c r="CI38" s="806"/>
      <c r="CJ38" s="256"/>
      <c r="CK38" s="248"/>
      <c r="CL38" s="248"/>
      <c r="CM38" s="1323"/>
      <c r="CN38" s="1324"/>
      <c r="CO38" s="464"/>
      <c r="CP38" s="360"/>
      <c r="CQ38" s="458"/>
      <c r="CR38" s="458"/>
      <c r="CS38" s="458"/>
      <c r="CT38" s="458"/>
      <c r="CU38" s="458"/>
      <c r="CV38" s="458"/>
      <c r="CW38" s="458"/>
      <c r="CX38" s="458"/>
      <c r="CY38" s="458"/>
      <c r="CZ38" s="458"/>
      <c r="DA38" s="457"/>
      <c r="DB38" s="359"/>
      <c r="DC38" s="248"/>
      <c r="DD38" s="248"/>
      <c r="DE38" s="248"/>
      <c r="DF38" s="248"/>
      <c r="DG38" s="248"/>
      <c r="DH38" s="248"/>
      <c r="DI38" s="248"/>
      <c r="DJ38" s="248"/>
      <c r="DK38" s="248"/>
      <c r="DL38" s="248"/>
      <c r="DM38" s="248"/>
      <c r="DN38" s="248"/>
      <c r="DO38" s="248"/>
    </row>
    <row r="39" spans="1:119" s="6" customFormat="1" ht="11.85" customHeight="1" thickTop="1">
      <c r="A39" s="475"/>
      <c r="B39" s="1379" t="s">
        <v>349</v>
      </c>
      <c r="C39" s="1380"/>
      <c r="D39" s="475"/>
      <c r="F39" s="524"/>
      <c r="G39" s="496"/>
      <c r="H39" s="507" t="s">
        <v>341</v>
      </c>
      <c r="I39" s="233"/>
      <c r="J39" s="233"/>
      <c r="K39" s="503"/>
      <c r="L39" s="503"/>
      <c r="M39" s="1397">
        <f>ZRB!G42</f>
        <v>0</v>
      </c>
      <c r="N39" s="1397"/>
      <c r="O39" s="1397"/>
      <c r="P39" s="1358">
        <f>ZRB!G41</f>
        <v>0</v>
      </c>
      <c r="Q39" s="1358"/>
      <c r="R39" s="1358"/>
      <c r="S39" s="498"/>
      <c r="T39" s="525"/>
      <c r="U39" s="257"/>
      <c r="V39" s="325"/>
      <c r="W39" s="293"/>
      <c r="X39" s="293"/>
      <c r="Y39" s="1352"/>
      <c r="Z39" s="1352"/>
      <c r="AA39" s="1352"/>
      <c r="AB39" s="1352"/>
      <c r="AC39" s="1352"/>
      <c r="AD39" s="1352"/>
      <c r="AE39" s="1352"/>
      <c r="AF39" s="1352"/>
      <c r="AG39" s="1352"/>
      <c r="AH39" s="1352"/>
      <c r="AI39" s="1352"/>
      <c r="AJ39" s="1352"/>
      <c r="AK39" s="295"/>
      <c r="AL39" s="248"/>
      <c r="AM39" s="248"/>
      <c r="AN39" s="327"/>
      <c r="AO39" s="1281"/>
      <c r="AP39" s="1282"/>
      <c r="AQ39" s="1282"/>
      <c r="AR39" s="1282"/>
      <c r="AS39" s="1282"/>
      <c r="AT39" s="1282"/>
      <c r="AU39" s="1282"/>
      <c r="AV39" s="1282"/>
      <c r="AW39" s="1282"/>
      <c r="AX39" s="1260"/>
      <c r="AY39" s="1260"/>
      <c r="AZ39" s="1260"/>
      <c r="BA39" s="278"/>
      <c r="BB39" s="248"/>
      <c r="BC39" s="248"/>
      <c r="BD39" s="248"/>
      <c r="BE39" s="394"/>
      <c r="BF39" s="454" t="str">
        <f>" &gt;&gt; EEG-Vergütung ( 0.-"&amp;ZRB!G91&amp;". Jahr)"</f>
        <v xml:space="preserve"> &gt;&gt; EEG-Vergütung ( 0.-20. Jahr)</v>
      </c>
      <c r="BG39" s="517"/>
      <c r="BH39" s="517"/>
      <c r="BI39" s="517"/>
      <c r="BJ39" s="517"/>
      <c r="BK39" s="517"/>
      <c r="BL39" s="517"/>
      <c r="BM39" s="517"/>
      <c r="BN39" s="1346" t="str">
        <f>IF(ZRB!G90&gt;ZRB!G91,"Verrechnungsanteil","")</f>
        <v/>
      </c>
      <c r="BO39" s="1346"/>
      <c r="BP39" s="1346"/>
      <c r="BQ39" s="545"/>
      <c r="BR39" s="447"/>
      <c r="BS39" s="248"/>
      <c r="BT39" s="256"/>
      <c r="BU39" s="801"/>
      <c r="BV39" s="807" t="str">
        <f>IF(OR(BU19=1,BU21=1),"","für die Eigenversorgung anteilige oder volle EEG-Umlage verlangen:")</f>
        <v/>
      </c>
      <c r="BW39" s="243"/>
      <c r="BX39" s="243"/>
      <c r="BY39" s="243"/>
      <c r="BZ39" s="243"/>
      <c r="CA39" s="243"/>
      <c r="CB39" s="243"/>
      <c r="CC39" s="243"/>
      <c r="CD39" s="243"/>
      <c r="CE39" s="243"/>
      <c r="CF39" s="243"/>
      <c r="CG39" s="243"/>
      <c r="CH39" s="243"/>
      <c r="CI39" s="806"/>
      <c r="CJ39" s="256"/>
      <c r="CK39" s="248"/>
      <c r="CL39" s="248"/>
      <c r="CM39" s="1323"/>
      <c r="CN39" s="1324"/>
      <c r="CO39" s="464"/>
      <c r="CP39" s="360"/>
      <c r="CQ39" s="458"/>
      <c r="CR39" s="458"/>
      <c r="CS39" s="458"/>
      <c r="CT39" s="458"/>
      <c r="CU39" s="458"/>
      <c r="CV39" s="458"/>
      <c r="CW39" s="458"/>
      <c r="CX39" s="458"/>
      <c r="CY39" s="458"/>
      <c r="CZ39" s="458"/>
      <c r="DA39" s="457"/>
      <c r="DB39" s="359"/>
      <c r="DC39" s="248"/>
      <c r="DD39" s="248"/>
      <c r="DE39" s="248"/>
      <c r="DF39" s="248"/>
      <c r="DG39" s="248"/>
      <c r="DH39" s="248"/>
      <c r="DI39" s="248"/>
      <c r="DJ39" s="248"/>
      <c r="DK39" s="248"/>
      <c r="DL39" s="248"/>
      <c r="DM39" s="248"/>
      <c r="DN39" s="248"/>
      <c r="DO39" s="248"/>
    </row>
    <row r="40" spans="1:119" s="6" customFormat="1" ht="2.4500000000000002" customHeight="1">
      <c r="A40" s="475"/>
      <c r="B40" s="1381"/>
      <c r="C40" s="1382"/>
      <c r="D40" s="475"/>
      <c r="E40" s="247"/>
      <c r="F40" s="524"/>
      <c r="G40" s="496"/>
      <c r="H40" s="508"/>
      <c r="I40" s="236"/>
      <c r="J40" s="236"/>
      <c r="K40" s="497"/>
      <c r="L40" s="497"/>
      <c r="M40" s="497"/>
      <c r="N40" s="497"/>
      <c r="O40" s="497"/>
      <c r="P40" s="502"/>
      <c r="Q40" s="502"/>
      <c r="R40" s="502"/>
      <c r="S40" s="498"/>
      <c r="T40" s="525"/>
      <c r="U40" s="257"/>
      <c r="V40" s="325"/>
      <c r="W40" s="293"/>
      <c r="X40" s="293"/>
      <c r="Y40" s="298"/>
      <c r="Z40" s="298"/>
      <c r="AA40" s="298"/>
      <c r="AB40" s="298"/>
      <c r="AC40" s="298"/>
      <c r="AD40" s="298"/>
      <c r="AE40" s="298"/>
      <c r="AF40" s="298"/>
      <c r="AG40" s="298"/>
      <c r="AH40" s="298"/>
      <c r="AI40" s="298"/>
      <c r="AJ40" s="298"/>
      <c r="AK40" s="295"/>
      <c r="AL40" s="248"/>
      <c r="AM40" s="248"/>
      <c r="AN40" s="327"/>
      <c r="AO40" s="431"/>
      <c r="AP40" s="1268" t="s">
        <v>308</v>
      </c>
      <c r="AQ40" s="1268"/>
      <c r="AR40" s="1268"/>
      <c r="AS40" s="1268"/>
      <c r="AT40" s="1268"/>
      <c r="AU40" s="1268"/>
      <c r="AV40" s="1268"/>
      <c r="AW40" s="1268"/>
      <c r="AX40" s="1268"/>
      <c r="AY40" s="1257">
        <f>ZRB!G67</f>
        <v>0</v>
      </c>
      <c r="AZ40" s="1257"/>
      <c r="BA40" s="436"/>
      <c r="BB40" s="248"/>
      <c r="BC40" s="248"/>
      <c r="BD40" s="248"/>
      <c r="BE40" s="394"/>
      <c r="BF40" s="517"/>
      <c r="BG40" s="517"/>
      <c r="BH40" s="517"/>
      <c r="BI40" s="517"/>
      <c r="BJ40" s="517"/>
      <c r="BK40" s="517"/>
      <c r="BL40" s="517"/>
      <c r="BM40" s="517"/>
      <c r="BN40" s="517"/>
      <c r="BO40" s="661"/>
      <c r="BP40" s="545"/>
      <c r="BQ40" s="545"/>
      <c r="BR40" s="447"/>
      <c r="BS40" s="248"/>
      <c r="BT40" s="256"/>
      <c r="BU40" s="801"/>
      <c r="BV40" s="1470" t="str">
        <f>IF(OR(BU19=1,BU21=1),"","anteilige")</f>
        <v/>
      </c>
      <c r="BW40" s="243"/>
      <c r="BX40" s="243"/>
      <c r="BY40" s="243"/>
      <c r="BZ40" s="243"/>
      <c r="CA40" s="243"/>
      <c r="CB40" s="243"/>
      <c r="CC40" s="243"/>
      <c r="CD40" s="243"/>
      <c r="CE40" s="243"/>
      <c r="CF40" s="243"/>
      <c r="CG40" s="243"/>
      <c r="CH40" s="243"/>
      <c r="CI40" s="806"/>
      <c r="CJ40" s="256"/>
      <c r="CK40" s="248"/>
      <c r="CL40" s="248"/>
      <c r="CM40" s="1323"/>
      <c r="CN40" s="1324"/>
      <c r="CO40" s="464"/>
      <c r="CP40" s="360"/>
      <c r="CQ40" s="458"/>
      <c r="CR40" s="458"/>
      <c r="CS40" s="458"/>
      <c r="CT40" s="458"/>
      <c r="CU40" s="458"/>
      <c r="CV40" s="458"/>
      <c r="CW40" s="458"/>
      <c r="CX40" s="458"/>
      <c r="CY40" s="458"/>
      <c r="CZ40" s="458"/>
      <c r="DA40" s="457"/>
      <c r="DB40" s="359"/>
      <c r="DC40" s="248"/>
      <c r="DD40" s="248"/>
      <c r="DE40" s="248"/>
      <c r="DF40" s="248"/>
      <c r="DG40" s="248"/>
      <c r="DH40" s="248"/>
      <c r="DI40" s="248"/>
      <c r="DJ40" s="248"/>
      <c r="DK40" s="248"/>
      <c r="DL40" s="248"/>
      <c r="DM40" s="248"/>
      <c r="DN40" s="248"/>
      <c r="DO40" s="248"/>
    </row>
    <row r="41" spans="1:119" s="6" customFormat="1" ht="11.85" customHeight="1">
      <c r="A41" s="475"/>
      <c r="B41" s="1381"/>
      <c r="C41" s="1382"/>
      <c r="D41" s="475"/>
      <c r="E41" s="247"/>
      <c r="F41" s="524"/>
      <c r="G41" s="496"/>
      <c r="H41" s="507" t="s">
        <v>342</v>
      </c>
      <c r="I41" s="497"/>
      <c r="J41" s="497"/>
      <c r="K41" s="497"/>
      <c r="L41" s="497"/>
      <c r="M41" s="497"/>
      <c r="N41" s="497"/>
      <c r="O41" s="497"/>
      <c r="P41" s="1358">
        <f>ZRB!G52</f>
        <v>0</v>
      </c>
      <c r="Q41" s="1358"/>
      <c r="R41" s="1358"/>
      <c r="S41" s="498"/>
      <c r="T41" s="525"/>
      <c r="U41" s="257"/>
      <c r="V41" s="384"/>
      <c r="W41" s="401"/>
      <c r="X41" s="381" t="s">
        <v>261</v>
      </c>
      <c r="Y41" s="309">
        <f>Grafik_Ertrag!G10</f>
        <v>0</v>
      </c>
      <c r="Z41" s="309">
        <f>Grafik_Ertrag!G11</f>
        <v>0</v>
      </c>
      <c r="AA41" s="309">
        <f>Grafik_Ertrag!G12</f>
        <v>0</v>
      </c>
      <c r="AB41" s="309">
        <f>Grafik_Ertrag!G13</f>
        <v>0</v>
      </c>
      <c r="AC41" s="309">
        <f>Grafik_Ertrag!G14</f>
        <v>0</v>
      </c>
      <c r="AD41" s="309">
        <f>Grafik_Ertrag!G15</f>
        <v>0</v>
      </c>
      <c r="AE41" s="309">
        <f>Grafik_Ertrag!G16</f>
        <v>0</v>
      </c>
      <c r="AF41" s="309">
        <f>Grafik_Ertrag!G17</f>
        <v>0</v>
      </c>
      <c r="AG41" s="309">
        <f>Grafik_Ertrag!G18</f>
        <v>0</v>
      </c>
      <c r="AH41" s="309">
        <f>Grafik_Ertrag!G19</f>
        <v>0</v>
      </c>
      <c r="AI41" s="309">
        <f>Grafik_Ertrag!G20</f>
        <v>0</v>
      </c>
      <c r="AJ41" s="309">
        <f>Grafik_Ertrag!G21</f>
        <v>0</v>
      </c>
      <c r="AK41" s="295"/>
      <c r="AL41" s="248"/>
      <c r="AM41" s="248"/>
      <c r="AN41" s="327"/>
      <c r="AO41" s="428"/>
      <c r="AP41" s="1268"/>
      <c r="AQ41" s="1268"/>
      <c r="AR41" s="1268"/>
      <c r="AS41" s="1268"/>
      <c r="AT41" s="1268"/>
      <c r="AU41" s="1268"/>
      <c r="AV41" s="1268"/>
      <c r="AW41" s="1268"/>
      <c r="AX41" s="1268"/>
      <c r="AY41" s="1257"/>
      <c r="AZ41" s="1257"/>
      <c r="BA41" s="436"/>
      <c r="BB41" s="248"/>
      <c r="BC41" s="248"/>
      <c r="BD41" s="248"/>
      <c r="BE41" s="446"/>
      <c r="BF41" s="1252">
        <v>0</v>
      </c>
      <c r="BG41" s="1252"/>
      <c r="BH41" s="1253">
        <f>ZRB!L9</f>
        <v>10</v>
      </c>
      <c r="BI41" s="1253"/>
      <c r="BJ41" s="1294">
        <f>IF($AN$13=1,"",ZRB!Q9)</f>
        <v>6.4299999999999996E-2</v>
      </c>
      <c r="BK41" s="1294"/>
      <c r="BL41" s="1254">
        <f>IF($AN$13=1,"",ZRB!P9)</f>
        <v>0</v>
      </c>
      <c r="BM41" s="1254"/>
      <c r="BN41" s="517"/>
      <c r="BO41" s="1308" t="str">
        <f>IF(ZRB!G90&gt;ZRB!G91,""&amp;ROUND(ZRB!G92*100,1)&amp;"%
(0-"&amp;ZRB!G91&amp;"J.)","")</f>
        <v/>
      </c>
      <c r="BP41" s="1293">
        <f>IF($AN$13=1,"",ZRB!G81)</f>
        <v>0</v>
      </c>
      <c r="BQ41" s="1293"/>
      <c r="BR41" s="447"/>
      <c r="BS41" s="248"/>
      <c r="BT41" s="256"/>
      <c r="BU41" s="801"/>
      <c r="BV41" s="1471"/>
      <c r="BW41" s="243" t="str">
        <f>IF(OR(BU19=1,BU21=1),"","&gt; 30% EEG-Umlage von 1.07.2014 bis 31.12.2015")</f>
        <v/>
      </c>
      <c r="BX41" s="243"/>
      <c r="BY41" s="243"/>
      <c r="BZ41" s="243"/>
      <c r="CA41" s="243"/>
      <c r="CB41" s="243"/>
      <c r="CC41" s="243"/>
      <c r="CD41" s="243"/>
      <c r="CE41" s="243"/>
      <c r="CF41" s="243"/>
      <c r="CG41" s="243"/>
      <c r="CH41" s="243"/>
      <c r="CI41" s="806"/>
      <c r="CJ41" s="256"/>
      <c r="CK41" s="248"/>
      <c r="CL41" s="248"/>
      <c r="CM41" s="1323"/>
      <c r="CN41" s="1324"/>
      <c r="CO41" s="464"/>
      <c r="CP41" s="360"/>
      <c r="CQ41" s="458"/>
      <c r="CR41" s="458"/>
      <c r="CS41" s="458"/>
      <c r="CT41" s="458"/>
      <c r="CU41" s="458"/>
      <c r="CV41" s="458"/>
      <c r="CW41" s="458"/>
      <c r="CX41" s="458"/>
      <c r="CY41" s="458"/>
      <c r="CZ41" s="458"/>
      <c r="DA41" s="457"/>
      <c r="DB41" s="359"/>
      <c r="DC41" s="248"/>
      <c r="DD41" s="248"/>
      <c r="DE41" s="248"/>
      <c r="DF41" s="248"/>
      <c r="DG41" s="248"/>
      <c r="DH41" s="248"/>
      <c r="DI41" s="248"/>
      <c r="DJ41" s="248"/>
      <c r="DK41" s="248"/>
      <c r="DL41" s="248"/>
      <c r="DM41" s="248"/>
      <c r="DN41" s="248"/>
      <c r="DO41" s="248"/>
    </row>
    <row r="42" spans="1:119" s="6" customFormat="1" ht="2.4500000000000002" customHeight="1">
      <c r="A42" s="475"/>
      <c r="B42" s="1381"/>
      <c r="C42" s="1382"/>
      <c r="D42" s="475"/>
      <c r="E42" s="247"/>
      <c r="F42" s="524"/>
      <c r="G42" s="496"/>
      <c r="H42" s="497"/>
      <c r="I42" s="497"/>
      <c r="J42" s="497"/>
      <c r="K42" s="497"/>
      <c r="L42" s="497"/>
      <c r="M42" s="497"/>
      <c r="N42" s="497"/>
      <c r="O42" s="497"/>
      <c r="P42" s="497"/>
      <c r="Q42" s="497"/>
      <c r="R42" s="497"/>
      <c r="S42" s="498"/>
      <c r="T42" s="525"/>
      <c r="U42" s="257"/>
      <c r="V42" s="385"/>
      <c r="W42" s="326"/>
      <c r="X42" s="326"/>
      <c r="Y42" s="471"/>
      <c r="Z42" s="471"/>
      <c r="AA42" s="471"/>
      <c r="AB42" s="471"/>
      <c r="AC42" s="471"/>
      <c r="AD42" s="471"/>
      <c r="AE42" s="471"/>
      <c r="AF42" s="471"/>
      <c r="AG42" s="471"/>
      <c r="AH42" s="471"/>
      <c r="AI42" s="471"/>
      <c r="AJ42" s="471"/>
      <c r="AK42" s="295"/>
      <c r="AL42" s="248"/>
      <c r="AM42" s="248"/>
      <c r="AN42" s="327"/>
      <c r="AO42" s="429"/>
      <c r="AP42" s="1268"/>
      <c r="AQ42" s="1268"/>
      <c r="AR42" s="1268"/>
      <c r="AS42" s="1268"/>
      <c r="AT42" s="1268"/>
      <c r="AU42" s="1268"/>
      <c r="AV42" s="1268"/>
      <c r="AW42" s="1268"/>
      <c r="AX42" s="1268"/>
      <c r="AY42" s="1257"/>
      <c r="AZ42" s="1257"/>
      <c r="BA42" s="436"/>
      <c r="BB42" s="248"/>
      <c r="BC42" s="248"/>
      <c r="BD42" s="248"/>
      <c r="BE42" s="446"/>
      <c r="BF42" s="448"/>
      <c r="BG42" s="449"/>
      <c r="BH42" s="366"/>
      <c r="BI42" s="655"/>
      <c r="BJ42" s="450"/>
      <c r="BK42" s="450"/>
      <c r="BL42" s="450"/>
      <c r="BM42" s="450"/>
      <c r="BN42" s="517"/>
      <c r="BO42" s="1308"/>
      <c r="BP42" s="451"/>
      <c r="BQ42" s="452"/>
      <c r="BR42" s="329"/>
      <c r="BS42" s="248"/>
      <c r="BT42" s="256"/>
      <c r="BU42" s="801"/>
      <c r="BV42" s="1471"/>
      <c r="BW42" s="243"/>
      <c r="BX42" s="243"/>
      <c r="BY42" s="243"/>
      <c r="BZ42" s="243"/>
      <c r="CA42" s="243"/>
      <c r="CB42" s="243"/>
      <c r="CC42" s="243"/>
      <c r="CD42" s="243"/>
      <c r="CE42" s="243"/>
      <c r="CF42" s="243"/>
      <c r="CG42" s="243"/>
      <c r="CH42" s="243"/>
      <c r="CI42" s="806"/>
      <c r="CJ42" s="256"/>
      <c r="CK42" s="248"/>
      <c r="CL42" s="248"/>
      <c r="CM42" s="1323"/>
      <c r="CN42" s="1324"/>
      <c r="CO42" s="464"/>
      <c r="CP42" s="360"/>
      <c r="CQ42" s="458"/>
      <c r="CR42" s="458"/>
      <c r="CS42" s="458"/>
      <c r="CT42" s="458"/>
      <c r="CU42" s="458"/>
      <c r="CV42" s="458"/>
      <c r="CW42" s="458"/>
      <c r="CX42" s="458"/>
      <c r="CY42" s="458"/>
      <c r="CZ42" s="458"/>
      <c r="DA42" s="457"/>
      <c r="DB42" s="359"/>
      <c r="DC42" s="248"/>
      <c r="DD42" s="248"/>
      <c r="DE42" s="248"/>
      <c r="DF42" s="248"/>
      <c r="DG42" s="248"/>
      <c r="DH42" s="248"/>
      <c r="DI42" s="248"/>
      <c r="DJ42" s="248"/>
      <c r="DK42" s="248"/>
      <c r="DL42" s="248"/>
      <c r="DM42" s="248"/>
      <c r="DN42" s="248"/>
      <c r="DO42" s="248"/>
    </row>
    <row r="43" spans="1:119" s="6" customFormat="1" ht="11.85" customHeight="1" thickBot="1">
      <c r="A43" s="475"/>
      <c r="B43" s="1377" t="s">
        <v>356</v>
      </c>
      <c r="C43" s="1378"/>
      <c r="D43" s="475"/>
      <c r="E43" s="247"/>
      <c r="F43" s="524"/>
      <c r="G43" s="499"/>
      <c r="H43" s="500"/>
      <c r="I43" s="500"/>
      <c r="J43" s="500"/>
      <c r="K43" s="500"/>
      <c r="L43" s="500"/>
      <c r="M43" s="500"/>
      <c r="N43" s="500"/>
      <c r="O43" s="500"/>
      <c r="P43" s="500"/>
      <c r="Q43" s="500"/>
      <c r="R43" s="500"/>
      <c r="S43" s="501"/>
      <c r="T43" s="525"/>
      <c r="U43" s="257"/>
      <c r="V43" s="386"/>
      <c r="W43" s="402"/>
      <c r="X43" s="398" t="s">
        <v>297</v>
      </c>
      <c r="Y43" s="324">
        <f>Grafik_Ertrag!E10</f>
        <v>0</v>
      </c>
      <c r="Z43" s="324">
        <f>Grafik_Ertrag!E11</f>
        <v>0</v>
      </c>
      <c r="AA43" s="324">
        <f>Grafik_Ertrag!E12</f>
        <v>0</v>
      </c>
      <c r="AB43" s="324">
        <f>Grafik_Ertrag!E13</f>
        <v>0</v>
      </c>
      <c r="AC43" s="324">
        <f>Grafik_Ertrag!E14</f>
        <v>0</v>
      </c>
      <c r="AD43" s="324">
        <f>Grafik_Ertrag!E15</f>
        <v>0</v>
      </c>
      <c r="AE43" s="324">
        <f>Grafik_Ertrag!E16</f>
        <v>0</v>
      </c>
      <c r="AF43" s="324">
        <f>Grafik_Ertrag!E17</f>
        <v>0</v>
      </c>
      <c r="AG43" s="324">
        <f>Grafik_Ertrag!E18</f>
        <v>0</v>
      </c>
      <c r="AH43" s="324">
        <f>Grafik_Ertrag!E19</f>
        <v>0</v>
      </c>
      <c r="AI43" s="324">
        <f>Grafik_Ertrag!E20</f>
        <v>0</v>
      </c>
      <c r="AJ43" s="324">
        <f>Grafik_Ertrag!E21</f>
        <v>0</v>
      </c>
      <c r="AK43" s="295"/>
      <c r="AL43" s="248"/>
      <c r="AM43" s="248"/>
      <c r="AN43" s="231">
        <v>20</v>
      </c>
      <c r="AO43" s="429"/>
      <c r="AP43" s="242" t="str">
        <f>"AfA: "&amp;Kalkulation_Eigenstrom!AP17&amp;""</f>
        <v>AfA: PV-Anlage (Module, AC &amp; DC-Kabel, etc.)</v>
      </c>
      <c r="AQ43" s="235"/>
      <c r="AR43" s="235"/>
      <c r="AS43" s="235"/>
      <c r="AT43" s="235"/>
      <c r="AU43" s="235"/>
      <c r="AV43" s="250"/>
      <c r="AW43" s="1477">
        <f>ZRB!G21</f>
        <v>20</v>
      </c>
      <c r="AX43" s="1478"/>
      <c r="AY43" s="1292">
        <f>ROUND(ZRB!G43,0)</f>
        <v>0</v>
      </c>
      <c r="AZ43" s="1292"/>
      <c r="BA43" s="329"/>
      <c r="BB43" s="248"/>
      <c r="BC43" s="248"/>
      <c r="BD43" s="248"/>
      <c r="BE43" s="446"/>
      <c r="BF43" s="1252" t="str">
        <f>IF(BL43=0,"",BH41)</f>
        <v/>
      </c>
      <c r="BG43" s="1252"/>
      <c r="BH43" s="1253" t="str">
        <f>IF(BL43=0,"",ZRB!L10)</f>
        <v/>
      </c>
      <c r="BI43" s="1253"/>
      <c r="BJ43" s="1294" t="str">
        <f>IF($AN$13=1,"",IF(BL43=0,"",ZRB!Q10))</f>
        <v/>
      </c>
      <c r="BK43" s="1294"/>
      <c r="BL43" s="1254">
        <f>IF($AN$13=1,"",ZRB!P10)</f>
        <v>0</v>
      </c>
      <c r="BM43" s="1254"/>
      <c r="BN43" s="517"/>
      <c r="BO43" s="1308"/>
      <c r="BP43" s="451"/>
      <c r="BQ43" s="452"/>
      <c r="BR43" s="329"/>
      <c r="BS43" s="248"/>
      <c r="BT43" s="256"/>
      <c r="BU43" s="801"/>
      <c r="BV43" s="1471"/>
      <c r="BW43" s="243" t="str">
        <f>IF(OR(BU19=1,BU21=1),"","&gt; 35% EEG-Umlage von 1.01.2016 bis 31.12.2016")</f>
        <v/>
      </c>
      <c r="BX43" s="243"/>
      <c r="BY43" s="243"/>
      <c r="BZ43" s="243"/>
      <c r="CA43" s="243"/>
      <c r="CB43" s="243"/>
      <c r="CC43" s="243"/>
      <c r="CD43" s="243"/>
      <c r="CE43" s="243"/>
      <c r="CF43" s="243"/>
      <c r="CG43" s="243"/>
      <c r="CH43" s="243"/>
      <c r="CI43" s="806"/>
      <c r="CJ43" s="256"/>
      <c r="CK43" s="248"/>
      <c r="CL43" s="248"/>
      <c r="CM43" s="1323"/>
      <c r="CN43" s="1324"/>
      <c r="CO43" s="464"/>
      <c r="CP43" s="360"/>
      <c r="CQ43" s="458"/>
      <c r="CR43" s="458"/>
      <c r="CS43" s="458"/>
      <c r="CT43" s="457"/>
      <c r="CU43" s="457"/>
      <c r="CV43" s="457"/>
      <c r="CW43" s="457"/>
      <c r="CX43" s="457"/>
      <c r="CY43" s="457"/>
      <c r="CZ43" s="457"/>
      <c r="DA43" s="457"/>
      <c r="DB43" s="359"/>
      <c r="DC43" s="248"/>
      <c r="DD43" s="248"/>
      <c r="DE43" s="248"/>
      <c r="DF43" s="248"/>
      <c r="DG43" s="248"/>
      <c r="DH43" s="248"/>
      <c r="DI43" s="248"/>
      <c r="DJ43" s="248"/>
      <c r="DK43" s="248"/>
      <c r="DL43" s="248"/>
      <c r="DM43" s="248"/>
      <c r="DN43" s="248"/>
      <c r="DO43" s="248"/>
    </row>
    <row r="44" spans="1:119" s="6" customFormat="1" ht="2.4500000000000002" customHeight="1" thickTop="1">
      <c r="A44" s="475"/>
      <c r="B44" s="477"/>
      <c r="C44" s="475"/>
      <c r="D44" s="475"/>
      <c r="E44" s="247"/>
      <c r="F44" s="524"/>
      <c r="G44" s="260"/>
      <c r="H44" s="261"/>
      <c r="I44" s="261"/>
      <c r="J44" s="261"/>
      <c r="K44" s="261"/>
      <c r="L44" s="261"/>
      <c r="M44" s="261"/>
      <c r="N44" s="261"/>
      <c r="O44" s="262"/>
      <c r="P44" s="262"/>
      <c r="Q44" s="262"/>
      <c r="R44" s="262"/>
      <c r="S44" s="263"/>
      <c r="T44" s="525"/>
      <c r="U44" s="257"/>
      <c r="V44" s="385"/>
      <c r="W44" s="326"/>
      <c r="X44" s="326"/>
      <c r="Y44" s="471"/>
      <c r="Z44" s="471"/>
      <c r="AA44" s="471"/>
      <c r="AB44" s="471"/>
      <c r="AC44" s="471"/>
      <c r="AD44" s="471"/>
      <c r="AE44" s="471"/>
      <c r="AF44" s="471"/>
      <c r="AG44" s="471"/>
      <c r="AH44" s="471"/>
      <c r="AI44" s="471"/>
      <c r="AJ44" s="471"/>
      <c r="AK44" s="295"/>
      <c r="AL44" s="248"/>
      <c r="AM44" s="248"/>
      <c r="AN44" s="327"/>
      <c r="AO44" s="429"/>
      <c r="AP44" s="406"/>
      <c r="AQ44" s="235"/>
      <c r="AR44" s="235"/>
      <c r="AS44" s="235"/>
      <c r="AT44" s="235"/>
      <c r="AU44" s="235"/>
      <c r="AV44" s="241"/>
      <c r="AW44" s="238"/>
      <c r="AX44" s="238"/>
      <c r="AY44" s="411"/>
      <c r="AZ44" s="411"/>
      <c r="BA44" s="329"/>
      <c r="BB44" s="248"/>
      <c r="BC44" s="248"/>
      <c r="BD44" s="248"/>
      <c r="BE44" s="446"/>
      <c r="BF44" s="448"/>
      <c r="BG44" s="449"/>
      <c r="BH44" s="366"/>
      <c r="BI44" s="655"/>
      <c r="BJ44" s="453"/>
      <c r="BK44" s="237"/>
      <c r="BL44" s="237"/>
      <c r="BM44" s="238"/>
      <c r="BN44" s="517"/>
      <c r="BO44" s="1308"/>
      <c r="BP44" s="452"/>
      <c r="BQ44" s="452"/>
      <c r="BR44" s="329"/>
      <c r="BS44" s="248"/>
      <c r="BT44" s="256"/>
      <c r="BU44" s="801"/>
      <c r="BV44" s="1471"/>
      <c r="BW44" s="243"/>
      <c r="BX44" s="243"/>
      <c r="BY44" s="243"/>
      <c r="BZ44" s="243"/>
      <c r="CA44" s="243"/>
      <c r="CB44" s="243"/>
      <c r="CC44" s="243"/>
      <c r="CD44" s="243"/>
      <c r="CE44" s="243"/>
      <c r="CF44" s="243"/>
      <c r="CG44" s="243"/>
      <c r="CH44" s="243"/>
      <c r="CI44" s="806"/>
      <c r="CJ44" s="256"/>
      <c r="CK44" s="248"/>
      <c r="CL44" s="248"/>
      <c r="CM44" s="1323"/>
      <c r="CN44" s="1324"/>
      <c r="CO44" s="464"/>
      <c r="CP44" s="360"/>
      <c r="CQ44" s="458"/>
      <c r="CR44" s="458"/>
      <c r="CS44" s="458"/>
      <c r="CT44" s="457"/>
      <c r="CU44" s="457"/>
      <c r="CV44" s="457"/>
      <c r="CW44" s="457"/>
      <c r="CX44" s="457"/>
      <c r="CY44" s="457"/>
      <c r="CZ44" s="457"/>
      <c r="DA44" s="457"/>
      <c r="DB44" s="359"/>
      <c r="DC44" s="248"/>
      <c r="DD44" s="248"/>
      <c r="DE44" s="248"/>
      <c r="DF44" s="248"/>
      <c r="DG44" s="248"/>
      <c r="DH44" s="248"/>
      <c r="DI44" s="248"/>
      <c r="DJ44" s="248"/>
      <c r="DK44" s="248"/>
      <c r="DL44" s="248"/>
      <c r="DM44" s="248"/>
      <c r="DN44" s="248"/>
      <c r="DO44" s="248"/>
    </row>
    <row r="45" spans="1:119" s="6" customFormat="1" ht="11.85" customHeight="1">
      <c r="A45" s="475"/>
      <c r="B45" s="477"/>
      <c r="C45" s="475"/>
      <c r="D45" s="475"/>
      <c r="E45" s="413">
        <f>IF(AND(P37&gt;0,P45&gt;0),0,1)</f>
        <v>1</v>
      </c>
      <c r="F45" s="524"/>
      <c r="G45" s="1370" t="s">
        <v>344</v>
      </c>
      <c r="H45" s="1371"/>
      <c r="I45" s="1371"/>
      <c r="J45" s="1371"/>
      <c r="K45" s="1371"/>
      <c r="L45" s="520"/>
      <c r="M45" s="520"/>
      <c r="N45" s="520"/>
      <c r="O45" s="520"/>
      <c r="P45" s="1373">
        <f>ZRB!G80</f>
        <v>0</v>
      </c>
      <c r="Q45" s="1373"/>
      <c r="R45" s="1373"/>
      <c r="S45" s="522"/>
      <c r="T45" s="525"/>
      <c r="U45" s="257"/>
      <c r="V45" s="384"/>
      <c r="W45" s="401"/>
      <c r="X45" s="382" t="s">
        <v>262</v>
      </c>
      <c r="Y45" s="310">
        <f>Grafik_Ertrag!F10</f>
        <v>0</v>
      </c>
      <c r="Z45" s="310">
        <f>Grafik_Ertrag!F11</f>
        <v>0</v>
      </c>
      <c r="AA45" s="310">
        <f>Grafik_Ertrag!F12</f>
        <v>0</v>
      </c>
      <c r="AB45" s="310">
        <f>Grafik_Ertrag!F13</f>
        <v>0</v>
      </c>
      <c r="AC45" s="310">
        <f>Grafik_Ertrag!F14</f>
        <v>0</v>
      </c>
      <c r="AD45" s="310">
        <f>Grafik_Ertrag!F15</f>
        <v>0</v>
      </c>
      <c r="AE45" s="310">
        <f>Grafik_Ertrag!F16</f>
        <v>0</v>
      </c>
      <c r="AF45" s="310">
        <f>Grafik_Ertrag!F17</f>
        <v>0</v>
      </c>
      <c r="AG45" s="310">
        <f>Grafik_Ertrag!F18</f>
        <v>0</v>
      </c>
      <c r="AH45" s="310">
        <f>Grafik_Ertrag!F19</f>
        <v>0</v>
      </c>
      <c r="AI45" s="310">
        <f>Grafik_Ertrag!F20</f>
        <v>0</v>
      </c>
      <c r="AJ45" s="310">
        <f>Grafik_Ertrag!F21</f>
        <v>0</v>
      </c>
      <c r="AK45" s="295"/>
      <c r="AL45" s="248"/>
      <c r="AM45" s="248"/>
      <c r="AN45" s="231">
        <v>50</v>
      </c>
      <c r="AO45" s="429"/>
      <c r="AP45" s="242" t="str">
        <f>"AfA: "&amp;Kalkulation_Eigenstrom!AP19&amp;""</f>
        <v>AfA: Wechselrichter</v>
      </c>
      <c r="AQ45" s="235"/>
      <c r="AR45" s="235"/>
      <c r="AS45" s="235"/>
      <c r="AT45" s="235"/>
      <c r="AU45" s="235"/>
      <c r="AV45" s="250" t="s">
        <v>6</v>
      </c>
      <c r="AW45" s="482">
        <v>10</v>
      </c>
      <c r="AX45" s="438" t="s">
        <v>316</v>
      </c>
      <c r="AY45" s="1292">
        <f>ZRB!G44</f>
        <v>0</v>
      </c>
      <c r="AZ45" s="1292"/>
      <c r="BA45" s="329"/>
      <c r="BB45" s="248"/>
      <c r="BC45" s="248"/>
      <c r="BD45" s="555">
        <f>ZRB!G93</f>
        <v>0</v>
      </c>
      <c r="BE45" s="446"/>
      <c r="BF45" s="1252" t="str">
        <f>IF(BL45=0,"",BH43)</f>
        <v/>
      </c>
      <c r="BG45" s="1252"/>
      <c r="BH45" s="1253" t="str">
        <f>IF(BL45=0,"",ZRB!L11)</f>
        <v/>
      </c>
      <c r="BI45" s="1253"/>
      <c r="BJ45" s="1294" t="str">
        <f>IF($AN$13=1,"",IF(BL45=0,"",ZRB!Q11))</f>
        <v/>
      </c>
      <c r="BK45" s="1294"/>
      <c r="BL45" s="1254">
        <f>IF($AN$13=1,"",ZRB!P11)</f>
        <v>0</v>
      </c>
      <c r="BM45" s="1254"/>
      <c r="BN45" s="517"/>
      <c r="BO45" s="1308"/>
      <c r="BP45" s="452"/>
      <c r="BQ45" s="452"/>
      <c r="BR45" s="329"/>
      <c r="BS45" s="248"/>
      <c r="BT45" s="256"/>
      <c r="BU45" s="801"/>
      <c r="BV45" s="1472"/>
      <c r="BW45" s="243" t="str">
        <f>IF(OR(BU19=1,BU21=1),"","&gt; 40% EEG-Umlage ab 1.01.2017")</f>
        <v/>
      </c>
      <c r="BX45" s="243"/>
      <c r="BY45" s="243"/>
      <c r="BZ45" s="243"/>
      <c r="CA45" s="243"/>
      <c r="CB45" s="243"/>
      <c r="CC45" s="243"/>
      <c r="CD45" s="243"/>
      <c r="CE45" s="243"/>
      <c r="CF45" s="243"/>
      <c r="CG45" s="243"/>
      <c r="CH45" s="243"/>
      <c r="CI45" s="806"/>
      <c r="CJ45" s="256"/>
      <c r="CK45" s="248"/>
      <c r="CL45" s="248"/>
      <c r="CM45" s="1323"/>
      <c r="CN45" s="1324"/>
      <c r="CO45" s="464"/>
      <c r="CP45" s="360"/>
      <c r="CQ45" s="458"/>
      <c r="CR45" s="458"/>
      <c r="CS45" s="458"/>
      <c r="CT45" s="457"/>
      <c r="CU45" s="457"/>
      <c r="CV45" s="457"/>
      <c r="CW45" s="457"/>
      <c r="CX45" s="457"/>
      <c r="CY45" s="457"/>
      <c r="CZ45" s="457"/>
      <c r="DA45" s="457"/>
      <c r="DB45" s="359"/>
      <c r="DC45" s="248"/>
      <c r="DD45" s="248"/>
      <c r="DE45" s="248"/>
      <c r="DF45" s="248"/>
      <c r="DG45" s="248"/>
      <c r="DH45" s="248"/>
      <c r="DI45" s="248"/>
      <c r="DJ45" s="248"/>
      <c r="DK45" s="248"/>
      <c r="DL45" s="248"/>
      <c r="DM45" s="248"/>
      <c r="DN45" s="248"/>
      <c r="DO45" s="248"/>
    </row>
    <row r="46" spans="1:119" s="6" customFormat="1" ht="2.4500000000000002" customHeight="1" thickBot="1">
      <c r="A46" s="475"/>
      <c r="B46" s="477"/>
      <c r="C46" s="475"/>
      <c r="D46" s="475"/>
      <c r="E46" s="247"/>
      <c r="F46" s="524"/>
      <c r="G46" s="1370"/>
      <c r="H46" s="1371"/>
      <c r="I46" s="1371"/>
      <c r="J46" s="1371"/>
      <c r="K46" s="1371"/>
      <c r="L46" s="520"/>
      <c r="M46" s="520"/>
      <c r="N46" s="520"/>
      <c r="O46" s="520"/>
      <c r="P46" s="523"/>
      <c r="Q46" s="523"/>
      <c r="R46" s="523"/>
      <c r="S46" s="522"/>
      <c r="T46" s="525"/>
      <c r="U46" s="257"/>
      <c r="V46" s="385"/>
      <c r="W46" s="326"/>
      <c r="X46" s="326"/>
      <c r="Y46" s="293"/>
      <c r="Z46" s="293"/>
      <c r="AA46" s="296"/>
      <c r="AB46" s="296"/>
      <c r="AC46" s="297"/>
      <c r="AD46" s="297"/>
      <c r="AE46" s="297"/>
      <c r="AF46" s="297"/>
      <c r="AG46" s="298"/>
      <c r="AH46" s="298"/>
      <c r="AI46" s="299"/>
      <c r="AJ46" s="299"/>
      <c r="AK46" s="295"/>
      <c r="AL46" s="248"/>
      <c r="AM46" s="248"/>
      <c r="AN46" s="327"/>
      <c r="AO46" s="429"/>
      <c r="AP46" s="406"/>
      <c r="AQ46" s="235"/>
      <c r="AR46" s="235"/>
      <c r="AS46" s="235"/>
      <c r="AT46" s="235"/>
      <c r="AU46" s="235"/>
      <c r="AV46" s="241"/>
      <c r="AW46" s="238"/>
      <c r="AX46" s="238"/>
      <c r="AY46" s="411"/>
      <c r="AZ46" s="411"/>
      <c r="BA46" s="329"/>
      <c r="BB46" s="248"/>
      <c r="BC46" s="248"/>
      <c r="BD46" s="248"/>
      <c r="BE46" s="394"/>
      <c r="BF46" s="448"/>
      <c r="BG46" s="449"/>
      <c r="BH46" s="366"/>
      <c r="BI46" s="655"/>
      <c r="BJ46" s="453"/>
      <c r="BK46" s="237"/>
      <c r="BL46" s="237"/>
      <c r="BM46" s="238"/>
      <c r="BN46" s="517"/>
      <c r="BO46" s="1308"/>
      <c r="BP46" s="237"/>
      <c r="BQ46" s="237"/>
      <c r="BR46" s="329"/>
      <c r="BS46" s="248"/>
      <c r="BT46" s="256"/>
      <c r="BU46" s="801"/>
      <c r="BV46" s="805"/>
      <c r="BW46" s="243"/>
      <c r="BX46" s="243"/>
      <c r="BY46" s="243"/>
      <c r="BZ46" s="243"/>
      <c r="CA46" s="243"/>
      <c r="CB46" s="243"/>
      <c r="CC46" s="243"/>
      <c r="CD46" s="243"/>
      <c r="CE46" s="243"/>
      <c r="CF46" s="243"/>
      <c r="CG46" s="243"/>
      <c r="CH46" s="243"/>
      <c r="CI46" s="806"/>
      <c r="CJ46" s="256"/>
      <c r="CK46" s="248"/>
      <c r="CL46" s="248"/>
      <c r="CM46" s="1323"/>
      <c r="CN46" s="1324"/>
      <c r="CO46" s="464"/>
      <c r="CP46" s="360"/>
      <c r="CQ46" s="458"/>
      <c r="CR46" s="458"/>
      <c r="CS46" s="458"/>
      <c r="CT46" s="458"/>
      <c r="CU46" s="458"/>
      <c r="CV46" s="458"/>
      <c r="CW46" s="458"/>
      <c r="CX46" s="458"/>
      <c r="CY46" s="458"/>
      <c r="CZ46" s="458"/>
      <c r="DA46" s="457"/>
      <c r="DB46" s="359"/>
      <c r="DC46" s="248"/>
      <c r="DD46" s="248"/>
      <c r="DE46" s="248"/>
      <c r="DF46" s="248"/>
      <c r="DG46" s="248"/>
      <c r="DH46" s="248"/>
      <c r="DI46" s="248"/>
      <c r="DJ46" s="248"/>
      <c r="DK46" s="248"/>
      <c r="DL46" s="248"/>
      <c r="DM46" s="248"/>
      <c r="DN46" s="248"/>
      <c r="DO46" s="248"/>
    </row>
    <row r="47" spans="1:119" s="6" customFormat="1" ht="11.85" customHeight="1" thickTop="1">
      <c r="A47" s="475"/>
      <c r="B47" s="1244" t="s">
        <v>870</v>
      </c>
      <c r="C47" s="1245"/>
      <c r="D47" s="475"/>
      <c r="E47" s="247"/>
      <c r="F47" s="524"/>
      <c r="G47" s="496"/>
      <c r="H47" s="233" t="s">
        <v>347</v>
      </c>
      <c r="I47" s="233"/>
      <c r="J47" s="233"/>
      <c r="K47" s="503"/>
      <c r="L47" s="503"/>
      <c r="M47" s="503"/>
      <c r="N47" s="503"/>
      <c r="O47" s="503"/>
      <c r="P47" s="1358">
        <f>ZRB!G48+ZRB!G56</f>
        <v>0</v>
      </c>
      <c r="Q47" s="1358"/>
      <c r="R47" s="1358"/>
      <c r="S47" s="498"/>
      <c r="T47" s="525"/>
      <c r="U47" s="257"/>
      <c r="V47" s="385"/>
      <c r="W47" s="326"/>
      <c r="X47" s="326"/>
      <c r="Y47" s="293"/>
      <c r="Z47" s="293"/>
      <c r="AA47" s="296"/>
      <c r="AB47" s="296"/>
      <c r="AC47" s="297"/>
      <c r="AD47" s="297"/>
      <c r="AE47" s="297"/>
      <c r="AF47" s="297"/>
      <c r="AG47" s="298"/>
      <c r="AH47" s="298"/>
      <c r="AI47" s="299"/>
      <c r="AJ47" s="299"/>
      <c r="AK47" s="295"/>
      <c r="AL47" s="248"/>
      <c r="AM47" s="248"/>
      <c r="AN47" s="327"/>
      <c r="AO47" s="429"/>
      <c r="AP47" s="242" t="str">
        <f>"AfA: "&amp;Kalkulation_Eigenstrom!AP21&amp;""</f>
        <v>AfA: Unterkonstruktion / Montagegestell</v>
      </c>
      <c r="AQ47" s="235"/>
      <c r="AR47" s="235"/>
      <c r="AS47" s="235"/>
      <c r="AT47" s="235"/>
      <c r="AU47" s="235"/>
      <c r="AV47" s="250" t="s">
        <v>6</v>
      </c>
      <c r="AW47" s="482">
        <v>50</v>
      </c>
      <c r="AX47" s="438" t="s">
        <v>316</v>
      </c>
      <c r="AY47" s="1292">
        <f>ZRB!G45</f>
        <v>0</v>
      </c>
      <c r="AZ47" s="1292"/>
      <c r="BA47" s="329"/>
      <c r="BB47" s="248"/>
      <c r="BC47" s="248"/>
      <c r="BD47" s="248"/>
      <c r="BE47" s="394"/>
      <c r="BF47" s="1252" t="str">
        <f>IF(BL47=0,"",IF(BH47&gt;0,"über",""))</f>
        <v/>
      </c>
      <c r="BG47" s="1252"/>
      <c r="BH47" s="1253" t="str">
        <f>IF(BL47=0,"",ZRB!L12)</f>
        <v/>
      </c>
      <c r="BI47" s="1253"/>
      <c r="BJ47" s="1294" t="str">
        <f>IF($AN$13=1,"",IF(BL47=0,"",ZRB!Q12))</f>
        <v/>
      </c>
      <c r="BK47" s="1294"/>
      <c r="BL47" s="1254">
        <f>IF($AN$13=1,"",ZRB!P12)</f>
        <v>0</v>
      </c>
      <c r="BM47" s="1254"/>
      <c r="BN47" s="517"/>
      <c r="BO47" s="1308"/>
      <c r="BP47" s="237"/>
      <c r="BQ47" s="237"/>
      <c r="BR47" s="329"/>
      <c r="BS47" s="248"/>
      <c r="BT47" s="256"/>
      <c r="BU47" s="801"/>
      <c r="BV47" s="899" t="str">
        <f>IF(OR(BU19=1,BU21=1),"","volle")</f>
        <v/>
      </c>
      <c r="BW47" s="243" t="str">
        <f>IF(OR(BU19=1,BU21=1),"","&gt; 100% EEG-Umlage wenn Anlagenbetreiber ≠ Letztverbraucher (keine Personenidendität)")</f>
        <v/>
      </c>
      <c r="BX47" s="243"/>
      <c r="BY47" s="243"/>
      <c r="BZ47" s="243"/>
      <c r="CA47" s="243"/>
      <c r="CB47" s="243"/>
      <c r="CC47" s="243"/>
      <c r="CD47" s="243"/>
      <c r="CE47" s="243"/>
      <c r="CF47" s="243"/>
      <c r="CG47" s="243"/>
      <c r="CH47" s="243"/>
      <c r="CI47" s="806"/>
      <c r="CJ47" s="256"/>
      <c r="CK47" s="248"/>
      <c r="CL47" s="248"/>
      <c r="CM47" s="1323"/>
      <c r="CN47" s="1324"/>
      <c r="CO47" s="464"/>
      <c r="CP47" s="360"/>
      <c r="CQ47" s="458"/>
      <c r="CR47" s="458"/>
      <c r="CS47" s="458"/>
      <c r="CT47" s="1326" t="str">
        <f>ZRB!B35</f>
        <v/>
      </c>
      <c r="CU47" s="1326"/>
      <c r="CV47" s="1326"/>
      <c r="CW47" s="1326"/>
      <c r="CX47" s="1326"/>
      <c r="CY47" s="1326"/>
      <c r="CZ47" s="1326"/>
      <c r="DA47" s="1326"/>
      <c r="DB47" s="359"/>
      <c r="DC47" s="248"/>
      <c r="DD47" s="248"/>
      <c r="DE47" s="248"/>
      <c r="DF47" s="248"/>
      <c r="DG47" s="248"/>
      <c r="DH47" s="248"/>
      <c r="DI47" s="248"/>
      <c r="DJ47" s="248"/>
      <c r="DK47" s="248"/>
      <c r="DL47" s="248"/>
      <c r="DM47" s="248"/>
      <c r="DN47" s="248"/>
      <c r="DO47" s="248"/>
    </row>
    <row r="48" spans="1:119" s="6" customFormat="1" ht="2.4500000000000002" customHeight="1">
      <c r="A48" s="475"/>
      <c r="B48" s="1246"/>
      <c r="C48" s="1247"/>
      <c r="D48" s="475"/>
      <c r="E48" s="247"/>
      <c r="F48" s="524"/>
      <c r="G48" s="496"/>
      <c r="H48" s="236"/>
      <c r="I48" s="236"/>
      <c r="J48" s="236"/>
      <c r="K48" s="497"/>
      <c r="L48" s="497"/>
      <c r="M48" s="497"/>
      <c r="N48" s="497"/>
      <c r="O48" s="497"/>
      <c r="P48" s="502"/>
      <c r="Q48" s="502"/>
      <c r="R48" s="502"/>
      <c r="S48" s="498"/>
      <c r="T48" s="525"/>
      <c r="U48" s="257"/>
      <c r="V48" s="385"/>
      <c r="W48" s="326"/>
      <c r="X48" s="326"/>
      <c r="Y48" s="293"/>
      <c r="Z48" s="293"/>
      <c r="AA48" s="296"/>
      <c r="AB48" s="296"/>
      <c r="AC48" s="297"/>
      <c r="AD48" s="297"/>
      <c r="AE48" s="297"/>
      <c r="AF48" s="297"/>
      <c r="AG48" s="298"/>
      <c r="AH48" s="298"/>
      <c r="AI48" s="299"/>
      <c r="AJ48" s="299"/>
      <c r="AK48" s="295"/>
      <c r="AL48" s="248"/>
      <c r="AM48" s="248"/>
      <c r="AN48" s="327"/>
      <c r="AO48" s="429"/>
      <c r="AP48" s="406"/>
      <c r="AQ48" s="235"/>
      <c r="AR48" s="235"/>
      <c r="AS48" s="235"/>
      <c r="AT48" s="235"/>
      <c r="AU48" s="235"/>
      <c r="AV48" s="241"/>
      <c r="AW48" s="238"/>
      <c r="AX48" s="238"/>
      <c r="AY48" s="411"/>
      <c r="AZ48" s="411"/>
      <c r="BA48" s="329"/>
      <c r="BB48" s="248"/>
      <c r="BC48" s="248"/>
      <c r="BD48" s="248"/>
      <c r="BE48" s="394"/>
      <c r="BF48" s="237"/>
      <c r="BG48" s="237"/>
      <c r="BH48" s="237"/>
      <c r="BI48" s="237"/>
      <c r="BJ48" s="237"/>
      <c r="BK48" s="237"/>
      <c r="BL48" s="237"/>
      <c r="BM48" s="237"/>
      <c r="BN48" s="517"/>
      <c r="BO48" s="662"/>
      <c r="BP48" s="237"/>
      <c r="BQ48" s="237"/>
      <c r="BR48" s="329"/>
      <c r="BS48" s="248"/>
      <c r="BT48" s="256"/>
      <c r="BU48" s="801"/>
      <c r="BV48" s="805"/>
      <c r="BW48" s="243"/>
      <c r="BX48" s="243"/>
      <c r="BY48" s="243"/>
      <c r="BZ48" s="243"/>
      <c r="CA48" s="243"/>
      <c r="CB48" s="243"/>
      <c r="CC48" s="243"/>
      <c r="CD48" s="243"/>
      <c r="CE48" s="243"/>
      <c r="CF48" s="243"/>
      <c r="CG48" s="243"/>
      <c r="CH48" s="243"/>
      <c r="CI48" s="806"/>
      <c r="CJ48" s="256"/>
      <c r="CK48" s="248"/>
      <c r="CL48" s="248"/>
      <c r="CM48" s="1323"/>
      <c r="CN48" s="1324"/>
      <c r="CO48" s="464"/>
      <c r="CP48" s="441"/>
      <c r="CQ48" s="458"/>
      <c r="CR48" s="465"/>
      <c r="CS48" s="465"/>
      <c r="CT48" s="1326"/>
      <c r="CU48" s="1326"/>
      <c r="CV48" s="1326"/>
      <c r="CW48" s="1326"/>
      <c r="CX48" s="1326"/>
      <c r="CY48" s="1326"/>
      <c r="CZ48" s="1326"/>
      <c r="DA48" s="1326"/>
      <c r="DB48" s="359"/>
      <c r="DC48" s="248"/>
      <c r="DD48" s="248"/>
      <c r="DE48" s="248"/>
      <c r="DF48" s="248"/>
      <c r="DG48" s="248"/>
      <c r="DH48" s="248"/>
      <c r="DI48" s="248"/>
      <c r="DJ48" s="248"/>
      <c r="DK48" s="248"/>
      <c r="DL48" s="248"/>
      <c r="DM48" s="248"/>
      <c r="DN48" s="248"/>
      <c r="DO48" s="248"/>
    </row>
    <row r="49" spans="1:119" s="6" customFormat="1" ht="11.85" customHeight="1">
      <c r="A49" s="475"/>
      <c r="B49" s="1246"/>
      <c r="C49" s="1247"/>
      <c r="D49" s="475"/>
      <c r="E49" s="247"/>
      <c r="F49" s="524"/>
      <c r="G49" s="496"/>
      <c r="H49" s="516" t="s">
        <v>357</v>
      </c>
      <c r="I49" s="487"/>
      <c r="J49" s="497"/>
      <c r="K49" s="497"/>
      <c r="L49" s="497"/>
      <c r="M49" s="1353">
        <f>ZRB!F58</f>
        <v>0.03</v>
      </c>
      <c r="N49" s="1354"/>
      <c r="O49" s="497"/>
      <c r="P49" s="1358">
        <f>ZRB!G58</f>
        <v>0</v>
      </c>
      <c r="Q49" s="1358"/>
      <c r="R49" s="1358"/>
      <c r="S49" s="498"/>
      <c r="T49" s="525"/>
      <c r="U49" s="257"/>
      <c r="V49" s="387"/>
      <c r="W49" s="403" t="str">
        <f>IF(E11=1,"","*")</f>
        <v/>
      </c>
      <c r="X49" s="1361" t="str">
        <f>IF(E11=1,"","Der hier dargestellte Tagesertrag in    kWh/Tag    der "&amp;ROUND(ZRB!G6,1)&amp;" kWp- Anlage errechnet sich auf der")</f>
        <v/>
      </c>
      <c r="Y49" s="1361"/>
      <c r="Z49" s="1361"/>
      <c r="AA49" s="1361"/>
      <c r="AB49" s="1361"/>
      <c r="AC49" s="1361"/>
      <c r="AD49" s="1361"/>
      <c r="AE49" s="1361"/>
      <c r="AF49" s="1361"/>
      <c r="AG49" s="1361"/>
      <c r="AH49" s="1361"/>
      <c r="AI49" s="1361"/>
      <c r="AJ49" s="1361"/>
      <c r="AK49" s="1362"/>
      <c r="AL49" s="248"/>
      <c r="AM49" s="248"/>
      <c r="AN49" s="327"/>
      <c r="AO49" s="429"/>
      <c r="AP49" s="242" t="str">
        <f>"AfA: "&amp;Kalkulation_Eigenstrom!AP23&amp;""</f>
        <v>AfA: Sonstiges</v>
      </c>
      <c r="AQ49" s="235"/>
      <c r="AR49" s="235"/>
      <c r="AS49" s="235"/>
      <c r="AT49" s="235"/>
      <c r="AU49" s="235"/>
      <c r="AV49" s="250" t="s">
        <v>6</v>
      </c>
      <c r="AW49" s="482">
        <v>20</v>
      </c>
      <c r="AX49" s="438" t="s">
        <v>316</v>
      </c>
      <c r="AY49" s="1292">
        <f>ZRB!G46</f>
        <v>0</v>
      </c>
      <c r="AZ49" s="1292"/>
      <c r="BA49" s="329"/>
      <c r="BB49" s="248"/>
      <c r="BC49" s="248"/>
      <c r="BD49" s="248"/>
      <c r="BE49" s="394"/>
      <c r="BF49" s="454" t="str">
        <f>IF(ZRB!G90&gt;ZRB!G91," &gt;&gt; Erlöse Eigenvermarktung ("&amp;ZRB!G91&amp;".-"&amp;ZRB!G90&amp;". Jahr)","")</f>
        <v/>
      </c>
      <c r="BG49" s="237"/>
      <c r="BH49" s="237"/>
      <c r="BI49" s="237"/>
      <c r="BJ49" s="237"/>
      <c r="BK49" s="237"/>
      <c r="BL49" s="237"/>
      <c r="BM49" s="237"/>
      <c r="BN49" s="517"/>
      <c r="BO49" s="1308" t="str">
        <f>IF(ZRB!G90&gt;ZRB!G91,""&amp;ROUND(ZRB!G93*100,1)&amp;"%
("&amp;ZRB!G91&amp;"-"&amp;ZRB!G90&amp;"J.)","")</f>
        <v/>
      </c>
      <c r="BP49" s="1293">
        <f>IF($AN$13=1,"",ZRB!G82)</f>
        <v>0</v>
      </c>
      <c r="BQ49" s="1293"/>
      <c r="BR49" s="329"/>
      <c r="BS49" s="248"/>
      <c r="BT49" s="256"/>
      <c r="BU49" s="801"/>
      <c r="BV49" s="811" t="str">
        <f>IF(OR(BU19=1,BU21=1),"","WICHTIG - bitte beachten:")</f>
        <v/>
      </c>
      <c r="BW49" s="243"/>
      <c r="BX49" s="243"/>
      <c r="BY49" s="243"/>
      <c r="BZ49" s="243"/>
      <c r="CA49" s="243"/>
      <c r="CB49" s="243"/>
      <c r="CC49" s="243"/>
      <c r="CD49" s="243"/>
      <c r="CE49" s="243"/>
      <c r="CF49" s="243"/>
      <c r="CG49" s="243"/>
      <c r="CH49" s="243"/>
      <c r="CI49" s="806"/>
      <c r="CJ49" s="256"/>
      <c r="CK49" s="248"/>
      <c r="CL49" s="248"/>
      <c r="CM49" s="1323"/>
      <c r="CN49" s="1324"/>
      <c r="CO49" s="464"/>
      <c r="CP49" s="441"/>
      <c r="CQ49" s="458"/>
      <c r="CR49" s="457"/>
      <c r="CS49" s="457"/>
      <c r="CT49" s="1340" t="str">
        <f>IF(AN21=1,"Der nicht selbst genutzte Strom wird mit 0,0000 €/kWh bewertet.","")</f>
        <v/>
      </c>
      <c r="CU49" s="1340"/>
      <c r="CV49" s="1340"/>
      <c r="CW49" s="1340"/>
      <c r="CX49" s="1340"/>
      <c r="CY49" s="1340"/>
      <c r="CZ49" s="1340"/>
      <c r="DA49" s="1340"/>
      <c r="DB49" s="359"/>
      <c r="DC49" s="248"/>
      <c r="DD49" s="248"/>
      <c r="DE49" s="248"/>
      <c r="DF49" s="248"/>
      <c r="DG49" s="248"/>
      <c r="DH49" s="248"/>
      <c r="DI49" s="248"/>
      <c r="DJ49" s="248"/>
      <c r="DK49" s="248"/>
      <c r="DL49" s="248"/>
      <c r="DM49" s="248"/>
      <c r="DN49" s="248"/>
      <c r="DO49" s="248"/>
    </row>
    <row r="50" spans="1:119" s="6" customFormat="1" ht="2.4500000000000002" customHeight="1">
      <c r="A50" s="475"/>
      <c r="B50" s="1246"/>
      <c r="C50" s="1247"/>
      <c r="D50" s="475"/>
      <c r="E50" s="247"/>
      <c r="F50" s="524"/>
      <c r="G50" s="496"/>
      <c r="H50" s="497"/>
      <c r="I50" s="497"/>
      <c r="J50" s="497"/>
      <c r="K50" s="497"/>
      <c r="L50" s="497"/>
      <c r="M50" s="497"/>
      <c r="N50" s="497"/>
      <c r="O50" s="497"/>
      <c r="P50" s="497"/>
      <c r="Q50" s="497"/>
      <c r="R50" s="497"/>
      <c r="S50" s="498"/>
      <c r="T50" s="525"/>
      <c r="U50" s="257"/>
      <c r="V50" s="388"/>
      <c r="W50" s="404"/>
      <c r="X50" s="1361"/>
      <c r="Y50" s="1361"/>
      <c r="Z50" s="1361"/>
      <c r="AA50" s="1361"/>
      <c r="AB50" s="1361"/>
      <c r="AC50" s="1361"/>
      <c r="AD50" s="1361"/>
      <c r="AE50" s="1361"/>
      <c r="AF50" s="1361"/>
      <c r="AG50" s="1361"/>
      <c r="AH50" s="1361"/>
      <c r="AI50" s="1361"/>
      <c r="AJ50" s="1361"/>
      <c r="AK50" s="1362"/>
      <c r="AL50" s="248"/>
      <c r="AM50" s="248"/>
      <c r="AN50" s="327"/>
      <c r="AO50" s="429"/>
      <c r="AP50" s="406"/>
      <c r="AQ50" s="235"/>
      <c r="AR50" s="235"/>
      <c r="AS50" s="235"/>
      <c r="AT50" s="235"/>
      <c r="AU50" s="235"/>
      <c r="AV50" s="241"/>
      <c r="AW50" s="238"/>
      <c r="AX50" s="238"/>
      <c r="AY50" s="411"/>
      <c r="AZ50" s="411"/>
      <c r="BA50" s="329"/>
      <c r="BB50" s="248"/>
      <c r="BC50" s="248"/>
      <c r="BD50" s="248"/>
      <c r="BE50" s="394"/>
      <c r="BF50" s="237"/>
      <c r="BG50" s="237"/>
      <c r="BH50" s="237"/>
      <c r="BI50" s="237"/>
      <c r="BJ50" s="237"/>
      <c r="BK50" s="237"/>
      <c r="BL50" s="237"/>
      <c r="BM50" s="237"/>
      <c r="BN50" s="517"/>
      <c r="BO50" s="1308"/>
      <c r="BP50" s="237"/>
      <c r="BQ50" s="237"/>
      <c r="BR50" s="329"/>
      <c r="BS50" s="248"/>
      <c r="BT50" s="256"/>
      <c r="BU50" s="801"/>
      <c r="BV50" s="807"/>
      <c r="BW50" s="243"/>
      <c r="BX50" s="243"/>
      <c r="BY50" s="243"/>
      <c r="BZ50" s="243"/>
      <c r="CA50" s="243"/>
      <c r="CB50" s="243"/>
      <c r="CC50" s="243"/>
      <c r="CD50" s="243"/>
      <c r="CE50" s="243"/>
      <c r="CF50" s="243"/>
      <c r="CG50" s="243"/>
      <c r="CH50" s="243"/>
      <c r="CI50" s="806"/>
      <c r="CJ50" s="256"/>
      <c r="CK50" s="248"/>
      <c r="CL50" s="248"/>
      <c r="CM50" s="1323"/>
      <c r="CN50" s="1324"/>
      <c r="CO50" s="464"/>
      <c r="CP50" s="362"/>
      <c r="CQ50" s="298"/>
      <c r="CR50" s="298"/>
      <c r="CS50" s="298"/>
      <c r="CT50" s="298"/>
      <c r="CU50" s="298"/>
      <c r="CV50" s="298"/>
      <c r="CW50" s="298"/>
      <c r="CX50" s="298"/>
      <c r="CY50" s="298"/>
      <c r="CZ50" s="298"/>
      <c r="DA50" s="298"/>
      <c r="DB50" s="359"/>
      <c r="DC50" s="248"/>
      <c r="DD50" s="248"/>
      <c r="DE50" s="248"/>
      <c r="DF50" s="248"/>
      <c r="DG50" s="248"/>
      <c r="DH50" s="248"/>
      <c r="DI50" s="248"/>
      <c r="DJ50" s="248"/>
      <c r="DK50" s="248"/>
      <c r="DL50" s="248"/>
      <c r="DM50" s="248"/>
      <c r="DN50" s="248"/>
      <c r="DO50" s="248"/>
    </row>
    <row r="51" spans="1:119" s="6" customFormat="1" ht="11.85" customHeight="1">
      <c r="A51" s="475"/>
      <c r="B51" s="1246"/>
      <c r="C51" s="1247"/>
      <c r="D51" s="475"/>
      <c r="E51" s="247"/>
      <c r="F51" s="524"/>
      <c r="G51" s="496"/>
      <c r="H51" s="233" t="s">
        <v>348</v>
      </c>
      <c r="I51" s="233"/>
      <c r="J51" s="233"/>
      <c r="K51" s="503"/>
      <c r="L51" s="503"/>
      <c r="M51" s="503"/>
      <c r="N51" s="503"/>
      <c r="O51" s="503"/>
      <c r="P51" s="1358">
        <f>ZRB!G71</f>
        <v>0</v>
      </c>
      <c r="Q51" s="1358"/>
      <c r="R51" s="1358"/>
      <c r="S51" s="498"/>
      <c r="T51" s="525"/>
      <c r="U51" s="257"/>
      <c r="V51" s="389"/>
      <c r="W51" s="290"/>
      <c r="X51" s="1361" t="str">
        <f>IF(E11=1,"","Basis des von Ihnen erfassten Solarertrags von "&amp;ROUND(ZRB!G18,0)&amp;" kWh / kWp,Jahr am Standort "&amp;ZRB!G11&amp;".")</f>
        <v/>
      </c>
      <c r="Y51" s="1361"/>
      <c r="Z51" s="1361"/>
      <c r="AA51" s="1361"/>
      <c r="AB51" s="1361"/>
      <c r="AC51" s="1361"/>
      <c r="AD51" s="1361"/>
      <c r="AE51" s="1361"/>
      <c r="AF51" s="1361"/>
      <c r="AG51" s="1361"/>
      <c r="AH51" s="1361"/>
      <c r="AI51" s="1361"/>
      <c r="AJ51" s="1361"/>
      <c r="AK51" s="1362"/>
      <c r="AL51" s="248"/>
      <c r="AM51" s="248"/>
      <c r="AN51" s="376">
        <f>ZRB!G97</f>
        <v>3</v>
      </c>
      <c r="AO51" s="429"/>
      <c r="AP51" s="242" t="str">
        <f>"AfA: "&amp;Kalkulation_Eigenstrom!AP25&amp;""</f>
        <v xml:space="preserve">AfA: </v>
      </c>
      <c r="AQ51" s="235"/>
      <c r="AR51" s="235"/>
      <c r="AS51" s="235"/>
      <c r="AT51" s="235"/>
      <c r="AU51" s="235"/>
      <c r="AV51" s="250" t="s">
        <v>6</v>
      </c>
      <c r="AW51" s="482">
        <v>20</v>
      </c>
      <c r="AX51" s="438" t="s">
        <v>316</v>
      </c>
      <c r="AY51" s="1292">
        <f>ZRB!G47</f>
        <v>0</v>
      </c>
      <c r="AZ51" s="1292"/>
      <c r="BA51" s="329"/>
      <c r="BB51" s="248"/>
      <c r="BC51" s="248"/>
      <c r="BD51" s="248"/>
      <c r="BE51" s="394"/>
      <c r="BF51" s="237"/>
      <c r="BG51" s="237" t="str">
        <f>IF(ZRB!G90&gt;ZRB!G91,"Erlös-Erwartung:","")</f>
        <v/>
      </c>
      <c r="BH51" s="237"/>
      <c r="BI51" s="237"/>
      <c r="BJ51" s="1250">
        <f>AN45/1000</f>
        <v>0.05</v>
      </c>
      <c r="BK51" s="1251"/>
      <c r="BL51" s="1254" t="str">
        <f>IF($AN$13=1,"",IF(ZRB!G90&gt;ZRB!G91,IF(ZRB!G32=0,"",ZRB!G32),""))</f>
        <v/>
      </c>
      <c r="BM51" s="1254"/>
      <c r="BN51" s="517"/>
      <c r="BO51" s="1308"/>
      <c r="BP51" s="237"/>
      <c r="BQ51" s="237"/>
      <c r="BR51" s="329"/>
      <c r="BS51" s="248"/>
      <c r="BT51" s="256"/>
      <c r="BU51" s="801"/>
      <c r="BV51" s="812" t="str">
        <f>IF(OR(BU19=1,BU21=1),"","Der Abzug der fälligen anteiligen EEG-Umlage wird in der Kalkulation berücksichtigt.")</f>
        <v/>
      </c>
      <c r="BW51" s="243"/>
      <c r="BX51" s="243"/>
      <c r="BY51" s="243"/>
      <c r="BZ51" s="243"/>
      <c r="CA51" s="243"/>
      <c r="CB51" s="243"/>
      <c r="CC51" s="243"/>
      <c r="CD51" s="243"/>
      <c r="CE51" s="243"/>
      <c r="CF51" s="243"/>
      <c r="CG51" s="243"/>
      <c r="CH51" s="243"/>
      <c r="CI51" s="806"/>
      <c r="CJ51" s="256"/>
      <c r="CK51" s="248"/>
      <c r="CL51" s="248"/>
      <c r="CM51" s="463"/>
      <c r="CN51" s="464"/>
      <c r="CO51" s="464"/>
      <c r="CP51" s="362"/>
      <c r="CQ51" s="469"/>
      <c r="CR51" s="469"/>
      <c r="CS51" s="469"/>
      <c r="CT51" s="469"/>
      <c r="CU51" s="469"/>
      <c r="CV51" s="469"/>
      <c r="CW51" s="469"/>
      <c r="CX51" s="469"/>
      <c r="CY51" s="469"/>
      <c r="CZ51" s="469"/>
      <c r="DA51" s="469"/>
      <c r="DB51" s="359"/>
      <c r="DC51" s="248"/>
      <c r="DD51" s="248"/>
      <c r="DE51" s="248"/>
      <c r="DF51" s="248"/>
      <c r="DG51" s="248"/>
      <c r="DH51" s="248"/>
      <c r="DI51" s="248"/>
      <c r="DJ51" s="248"/>
      <c r="DK51" s="248"/>
      <c r="DL51" s="248"/>
      <c r="DM51" s="248"/>
      <c r="DN51" s="248"/>
      <c r="DO51" s="248"/>
    </row>
    <row r="52" spans="1:119" s="6" customFormat="1" ht="2.4500000000000002" customHeight="1">
      <c r="A52" s="475"/>
      <c r="B52" s="1246"/>
      <c r="C52" s="1247"/>
      <c r="D52" s="475"/>
      <c r="E52" s="247"/>
      <c r="F52" s="524"/>
      <c r="G52" s="496"/>
      <c r="H52" s="497"/>
      <c r="I52" s="497"/>
      <c r="J52" s="497"/>
      <c r="K52" s="497"/>
      <c r="L52" s="497"/>
      <c r="M52" s="497"/>
      <c r="N52" s="497"/>
      <c r="O52" s="497"/>
      <c r="P52" s="497"/>
      <c r="Q52" s="497"/>
      <c r="R52" s="497"/>
      <c r="S52" s="498"/>
      <c r="T52" s="525"/>
      <c r="U52" s="257"/>
      <c r="V52" s="388"/>
      <c r="W52" s="404"/>
      <c r="X52" s="1361"/>
      <c r="Y52" s="1361"/>
      <c r="Z52" s="1361"/>
      <c r="AA52" s="1361"/>
      <c r="AB52" s="1361"/>
      <c r="AC52" s="1361"/>
      <c r="AD52" s="1361"/>
      <c r="AE52" s="1361"/>
      <c r="AF52" s="1361"/>
      <c r="AG52" s="1361"/>
      <c r="AH52" s="1361"/>
      <c r="AI52" s="1361"/>
      <c r="AJ52" s="1361"/>
      <c r="AK52" s="1362"/>
      <c r="AL52" s="248"/>
      <c r="AM52" s="248"/>
      <c r="AN52" s="327"/>
      <c r="AO52" s="429"/>
      <c r="AP52" s="406"/>
      <c r="AQ52" s="235"/>
      <c r="AR52" s="235"/>
      <c r="AS52" s="235"/>
      <c r="AT52" s="235"/>
      <c r="AU52" s="235"/>
      <c r="AV52" s="241"/>
      <c r="AW52" s="238"/>
      <c r="AX52" s="238"/>
      <c r="AY52" s="411"/>
      <c r="AZ52" s="411"/>
      <c r="BA52" s="329"/>
      <c r="BB52" s="248"/>
      <c r="BC52" s="248"/>
      <c r="BD52" s="248"/>
      <c r="BE52" s="394"/>
      <c r="BF52" s="237"/>
      <c r="BG52" s="237"/>
      <c r="BH52" s="237"/>
      <c r="BI52" s="237"/>
      <c r="BJ52" s="237"/>
      <c r="BK52" s="237"/>
      <c r="BL52" s="237"/>
      <c r="BM52" s="237"/>
      <c r="BN52" s="517"/>
      <c r="BO52" s="237"/>
      <c r="BP52" s="237"/>
      <c r="BQ52" s="237"/>
      <c r="BR52" s="550"/>
      <c r="BS52" s="248"/>
      <c r="BT52" s="256"/>
      <c r="BU52" s="801"/>
      <c r="BV52" s="812"/>
      <c r="BW52" s="243"/>
      <c r="BX52" s="243"/>
      <c r="BY52" s="243"/>
      <c r="BZ52" s="243"/>
      <c r="CA52" s="243"/>
      <c r="CB52" s="243"/>
      <c r="CC52" s="243"/>
      <c r="CD52" s="243"/>
      <c r="CE52" s="243"/>
      <c r="CF52" s="243"/>
      <c r="CG52" s="243"/>
      <c r="CH52" s="243"/>
      <c r="CI52" s="806"/>
      <c r="CJ52" s="256"/>
      <c r="CK52" s="248"/>
      <c r="CL52" s="248"/>
      <c r="CM52" s="463"/>
      <c r="CN52" s="464"/>
      <c r="CO52" s="464"/>
      <c r="CP52" s="362"/>
      <c r="CQ52" s="469"/>
      <c r="CR52" s="469"/>
      <c r="CS52" s="469"/>
      <c r="CT52" s="469"/>
      <c r="CU52" s="469"/>
      <c r="CV52" s="469"/>
      <c r="CW52" s="469"/>
      <c r="CX52" s="469"/>
      <c r="CY52" s="469"/>
      <c r="CZ52" s="469"/>
      <c r="DA52" s="469"/>
      <c r="DB52" s="359"/>
      <c r="DC52" s="248"/>
      <c r="DD52" s="248"/>
      <c r="DE52" s="248"/>
      <c r="DF52" s="248"/>
      <c r="DG52" s="248"/>
      <c r="DH52" s="248"/>
      <c r="DI52" s="248"/>
      <c r="DJ52" s="248"/>
      <c r="DK52" s="248"/>
      <c r="DL52" s="248"/>
      <c r="DM52" s="248"/>
      <c r="DN52" s="248"/>
      <c r="DO52" s="248"/>
    </row>
    <row r="53" spans="1:119" s="6" customFormat="1" ht="11.85" customHeight="1">
      <c r="A53" s="475"/>
      <c r="B53" s="1246"/>
      <c r="C53" s="1247"/>
      <c r="D53" s="475"/>
      <c r="E53" s="247"/>
      <c r="F53" s="524"/>
      <c r="G53" s="496"/>
      <c r="H53" s="233" t="s">
        <v>209</v>
      </c>
      <c r="I53" s="233"/>
      <c r="J53" s="233"/>
      <c r="K53" s="503"/>
      <c r="L53" s="503"/>
      <c r="M53" s="503"/>
      <c r="N53" s="503"/>
      <c r="O53" s="503"/>
      <c r="P53" s="1358">
        <f>ZRB!G75</f>
        <v>0</v>
      </c>
      <c r="Q53" s="1358"/>
      <c r="R53" s="1358"/>
      <c r="S53" s="498"/>
      <c r="T53" s="525"/>
      <c r="U53" s="257"/>
      <c r="V53" s="389"/>
      <c r="W53" s="290"/>
      <c r="X53" s="1374" t="str">
        <f>IF(E11=1,"","high* = mögliche Solarerträge an Spitzentagen (Orientierungswerte).")</f>
        <v/>
      </c>
      <c r="Y53" s="1374"/>
      <c r="Z53" s="1374"/>
      <c r="AA53" s="1374"/>
      <c r="AB53" s="1374"/>
      <c r="AC53" s="1374"/>
      <c r="AD53" s="1374"/>
      <c r="AE53" s="1374"/>
      <c r="AF53" s="1374"/>
      <c r="AG53" s="1374"/>
      <c r="AH53" s="1374"/>
      <c r="AI53" s="1374"/>
      <c r="AJ53" s="1374"/>
      <c r="AK53" s="1375"/>
      <c r="AL53" s="248"/>
      <c r="AM53" s="248"/>
      <c r="AN53" s="327"/>
      <c r="AO53" s="429"/>
      <c r="AP53" s="242" t="str">
        <f>"AfA: "&amp;Kalkulation_Eigenstrom!AP29&amp;""</f>
        <v xml:space="preserve">AfA: </v>
      </c>
      <c r="AQ53" s="235"/>
      <c r="AR53" s="235"/>
      <c r="AS53" s="235"/>
      <c r="AT53" s="235"/>
      <c r="AU53" s="235"/>
      <c r="AV53" s="250" t="s">
        <v>6</v>
      </c>
      <c r="AW53" s="482">
        <v>20</v>
      </c>
      <c r="AX53" s="438" t="s">
        <v>316</v>
      </c>
      <c r="AY53" s="1292">
        <f>ZRB!G53</f>
        <v>0</v>
      </c>
      <c r="AZ53" s="1292"/>
      <c r="BA53" s="329"/>
      <c r="BB53" s="248"/>
      <c r="BC53" s="248"/>
      <c r="BD53" s="248"/>
      <c r="BE53" s="394"/>
      <c r="BF53" s="1298" t="str">
        <f>IF(AN37=0,"Hinweis: Die garantierte Einspeisevergütung nach EEG ist auf "&amp;AN33&amp;" Jahre begrenzt. Bei einer Anlagenlaufzeit von "&amp;AN35&amp;" Jahren muss der Strom nach dem "&amp;AN33&amp;". Jahr selbst vermarktet werden.","Hinweis: Bei einer Laufzeit von "&amp;AN43&amp;" Jahren ist keine Eigenvermarktung erforderlich. Das EEG garantiert die Mindestvergütung für diesen Zeitraum.")</f>
        <v>Hinweis: Bei einer Laufzeit von 20 Jahren ist keine Eigenvermarktung erforderlich. Das EEG garantiert die Mindestvergütung für diesen Zeitraum.</v>
      </c>
      <c r="BG53" s="1299"/>
      <c r="BH53" s="1299"/>
      <c r="BI53" s="1299"/>
      <c r="BJ53" s="1299"/>
      <c r="BK53" s="1299"/>
      <c r="BL53" s="1299"/>
      <c r="BM53" s="1299"/>
      <c r="BN53" s="1299"/>
      <c r="BO53" s="1299"/>
      <c r="BP53" s="1299"/>
      <c r="BQ53" s="1300"/>
      <c r="BR53" s="329"/>
      <c r="BS53" s="248"/>
      <c r="BT53" s="256"/>
      <c r="BU53" s="801"/>
      <c r="BV53" s="811" t="str">
        <f>IF(OR(BU19=1,BU21=1),"","PROBLEM:")</f>
        <v/>
      </c>
      <c r="BW53" s="243"/>
      <c r="BX53" s="243"/>
      <c r="BY53" s="814" t="str">
        <f>IF(OR(BU19=1,BU21=1),""," Die Höhe der voraussichtlich durchschnittlichen EEG-Umlage der nächsten")</f>
        <v/>
      </c>
      <c r="BZ53" s="243"/>
      <c r="CA53" s="243"/>
      <c r="CB53" s="243"/>
      <c r="CC53" s="243"/>
      <c r="CD53" s="243"/>
      <c r="CE53" s="243"/>
      <c r="CF53" s="243"/>
      <c r="CG53" s="243"/>
      <c r="CH53" s="243"/>
      <c r="CI53" s="806"/>
      <c r="CJ53" s="256"/>
      <c r="CK53" s="248"/>
      <c r="CL53" s="248"/>
      <c r="CM53" s="463"/>
      <c r="CN53" s="464"/>
      <c r="CO53" s="464"/>
      <c r="CP53" s="362"/>
      <c r="CQ53" s="1327" t="s">
        <v>307</v>
      </c>
      <c r="CR53" s="1327"/>
      <c r="CS53" s="1327"/>
      <c r="CT53" s="1327"/>
      <c r="CU53" s="1327"/>
      <c r="CV53" s="1327"/>
      <c r="CW53" s="1327"/>
      <c r="CX53" s="1327"/>
      <c r="CY53" s="1327"/>
      <c r="CZ53" s="1327"/>
      <c r="DA53" s="1327"/>
      <c r="DB53" s="359"/>
      <c r="DC53" s="248"/>
      <c r="DD53" s="248"/>
      <c r="DE53" s="248"/>
      <c r="DF53" s="248"/>
      <c r="DG53" s="248"/>
      <c r="DH53" s="248"/>
      <c r="DI53" s="248"/>
      <c r="DJ53" s="248"/>
      <c r="DK53" s="248"/>
      <c r="DL53" s="248"/>
      <c r="DM53" s="248"/>
      <c r="DN53" s="248"/>
      <c r="DO53" s="248"/>
    </row>
    <row r="54" spans="1:119" s="6" customFormat="1" ht="2.4500000000000002" customHeight="1">
      <c r="A54" s="475"/>
      <c r="B54" s="1246"/>
      <c r="C54" s="1247"/>
      <c r="D54" s="475"/>
      <c r="E54" s="247"/>
      <c r="F54" s="524"/>
      <c r="G54" s="496"/>
      <c r="H54" s="497"/>
      <c r="I54" s="497"/>
      <c r="J54" s="497"/>
      <c r="K54" s="497"/>
      <c r="L54" s="497"/>
      <c r="M54" s="497"/>
      <c r="N54" s="497"/>
      <c r="O54" s="497"/>
      <c r="P54" s="497"/>
      <c r="Q54" s="497"/>
      <c r="R54" s="497"/>
      <c r="S54" s="498"/>
      <c r="T54" s="525"/>
      <c r="U54" s="257"/>
      <c r="V54" s="388"/>
      <c r="W54" s="404"/>
      <c r="X54" s="1374"/>
      <c r="Y54" s="1374"/>
      <c r="Z54" s="1374"/>
      <c r="AA54" s="1374"/>
      <c r="AB54" s="1374"/>
      <c r="AC54" s="1374"/>
      <c r="AD54" s="1374"/>
      <c r="AE54" s="1374"/>
      <c r="AF54" s="1374"/>
      <c r="AG54" s="1374"/>
      <c r="AH54" s="1374"/>
      <c r="AI54" s="1374"/>
      <c r="AJ54" s="1374"/>
      <c r="AK54" s="1375"/>
      <c r="AL54" s="248"/>
      <c r="AM54" s="248"/>
      <c r="AN54" s="327"/>
      <c r="AO54" s="429"/>
      <c r="AP54" s="406"/>
      <c r="AQ54" s="235"/>
      <c r="AR54" s="235"/>
      <c r="AS54" s="235"/>
      <c r="AT54" s="235"/>
      <c r="AU54" s="235"/>
      <c r="AV54" s="241"/>
      <c r="AW54" s="238"/>
      <c r="AX54" s="238"/>
      <c r="AY54" s="411"/>
      <c r="AZ54" s="411"/>
      <c r="BA54" s="329"/>
      <c r="BB54" s="248"/>
      <c r="BC54" s="248"/>
      <c r="BD54" s="248"/>
      <c r="BE54" s="394"/>
      <c r="BF54" s="1301"/>
      <c r="BG54" s="1302"/>
      <c r="BH54" s="1302"/>
      <c r="BI54" s="1302"/>
      <c r="BJ54" s="1302"/>
      <c r="BK54" s="1302"/>
      <c r="BL54" s="1302"/>
      <c r="BM54" s="1302"/>
      <c r="BN54" s="1302"/>
      <c r="BO54" s="1302"/>
      <c r="BP54" s="1302"/>
      <c r="BQ54" s="1303"/>
      <c r="BR54" s="329"/>
      <c r="BS54" s="248"/>
      <c r="BT54" s="256"/>
      <c r="BU54" s="801"/>
      <c r="BV54" s="812"/>
      <c r="BW54" s="243"/>
      <c r="BX54" s="243"/>
      <c r="BY54" s="243"/>
      <c r="BZ54" s="243"/>
      <c r="CA54" s="243"/>
      <c r="CB54" s="243"/>
      <c r="CC54" s="243"/>
      <c r="CD54" s="243"/>
      <c r="CE54" s="243"/>
      <c r="CF54" s="243"/>
      <c r="CG54" s="243"/>
      <c r="CH54" s="243"/>
      <c r="CI54" s="806"/>
      <c r="CJ54" s="256"/>
      <c r="CK54" s="248"/>
      <c r="CL54" s="248"/>
      <c r="CM54" s="443"/>
      <c r="CN54" s="444"/>
      <c r="CO54" s="444"/>
      <c r="CP54" s="444"/>
      <c r="CQ54" s="1328"/>
      <c r="CR54" s="1328"/>
      <c r="CS54" s="1328"/>
      <c r="CT54" s="1328"/>
      <c r="CU54" s="1328"/>
      <c r="CV54" s="1328"/>
      <c r="CW54" s="1328"/>
      <c r="CX54" s="1328"/>
      <c r="CY54" s="1328"/>
      <c r="CZ54" s="1328"/>
      <c r="DA54" s="1328"/>
      <c r="DB54" s="445"/>
      <c r="DC54" s="248"/>
      <c r="DD54" s="248"/>
      <c r="DE54" s="248"/>
      <c r="DF54" s="248"/>
      <c r="DG54" s="248"/>
      <c r="DH54" s="248"/>
      <c r="DI54" s="248"/>
      <c r="DJ54" s="248"/>
      <c r="DK54" s="248"/>
      <c r="DL54" s="248"/>
      <c r="DM54" s="248"/>
      <c r="DN54" s="248"/>
      <c r="DO54" s="248"/>
    </row>
    <row r="55" spans="1:119" s="6" customFormat="1" ht="11.85" customHeight="1">
      <c r="A55" s="475"/>
      <c r="B55" s="1246"/>
      <c r="C55" s="1247"/>
      <c r="D55" s="475"/>
      <c r="E55" s="247"/>
      <c r="F55" s="524"/>
      <c r="G55" s="496"/>
      <c r="H55" s="233" t="s">
        <v>7</v>
      </c>
      <c r="I55" s="233"/>
      <c r="J55" s="233"/>
      <c r="K55" s="503"/>
      <c r="L55" s="503"/>
      <c r="M55" s="503"/>
      <c r="N55" s="503"/>
      <c r="O55" s="503"/>
      <c r="P55" s="1358">
        <f>ZRB!G79</f>
        <v>0</v>
      </c>
      <c r="Q55" s="1358"/>
      <c r="R55" s="1358"/>
      <c r="S55" s="498"/>
      <c r="T55" s="525"/>
      <c r="U55" s="257"/>
      <c r="V55" s="389"/>
      <c r="W55" s="290"/>
      <c r="X55" s="1442" t="str">
        <f>IF(E11=1,"","low* = mögliche Solarerträge an schwachen Tagen (Orientierungswerte).")</f>
        <v/>
      </c>
      <c r="Y55" s="1442"/>
      <c r="Z55" s="1442"/>
      <c r="AA55" s="1442"/>
      <c r="AB55" s="1442"/>
      <c r="AC55" s="1442"/>
      <c r="AD55" s="1442"/>
      <c r="AE55" s="1442"/>
      <c r="AF55" s="1442"/>
      <c r="AG55" s="1442"/>
      <c r="AH55" s="1442"/>
      <c r="AI55" s="1442"/>
      <c r="AJ55" s="1442"/>
      <c r="AK55" s="1443"/>
      <c r="AL55" s="248"/>
      <c r="AM55" s="248"/>
      <c r="AN55" s="327"/>
      <c r="AO55" s="429"/>
      <c r="AP55" s="242" t="str">
        <f>"AfA: "&amp;Kalkulation_Eigenstrom!AP31&amp;""</f>
        <v xml:space="preserve">AfA: </v>
      </c>
      <c r="AQ55" s="235"/>
      <c r="AR55" s="235"/>
      <c r="AS55" s="235"/>
      <c r="AT55" s="235"/>
      <c r="AU55" s="235"/>
      <c r="AV55" s="250" t="s">
        <v>6</v>
      </c>
      <c r="AW55" s="482">
        <v>20</v>
      </c>
      <c r="AX55" s="438" t="s">
        <v>316</v>
      </c>
      <c r="AY55" s="1292">
        <f>ZRB!G54</f>
        <v>0</v>
      </c>
      <c r="AZ55" s="1292"/>
      <c r="BA55" s="329"/>
      <c r="BB55" s="248"/>
      <c r="BC55" s="248"/>
      <c r="BD55" s="248"/>
      <c r="BE55" s="394"/>
      <c r="BF55" s="1304"/>
      <c r="BG55" s="1305"/>
      <c r="BH55" s="1305"/>
      <c r="BI55" s="1305"/>
      <c r="BJ55" s="1305"/>
      <c r="BK55" s="1305"/>
      <c r="BL55" s="1305"/>
      <c r="BM55" s="1305"/>
      <c r="BN55" s="1305"/>
      <c r="BO55" s="1305"/>
      <c r="BP55" s="1305"/>
      <c r="BQ55" s="1306"/>
      <c r="BR55" s="329"/>
      <c r="BS55" s="248"/>
      <c r="BT55" s="256"/>
      <c r="BU55" s="801"/>
      <c r="BV55" s="812" t="str">
        <f>IF(OR(BU19=1,BU21=1),"","20 (bis 30) Jahre muss selbst eingeschätzt werden, da sich der Abzug in jedem Jahr direkt")</f>
        <v/>
      </c>
      <c r="BW55" s="243"/>
      <c r="BX55" s="243"/>
      <c r="BY55" s="243"/>
      <c r="BZ55" s="243"/>
      <c r="CA55" s="243"/>
      <c r="CB55" s="243"/>
      <c r="CC55" s="243"/>
      <c r="CD55" s="243"/>
      <c r="CE55" s="243"/>
      <c r="CF55" s="243"/>
      <c r="CG55" s="243"/>
      <c r="CH55" s="243"/>
      <c r="CI55" s="806"/>
      <c r="CJ55" s="256"/>
      <c r="CK55" s="248"/>
      <c r="CL55" s="248"/>
      <c r="CM55" s="248"/>
      <c r="CN55" s="248"/>
      <c r="CO55" s="248"/>
      <c r="CP55" s="248"/>
      <c r="CQ55" s="248"/>
      <c r="CR55" s="248"/>
      <c r="CS55" s="248"/>
      <c r="CT55" s="248"/>
      <c r="CU55" s="248"/>
      <c r="CV55" s="248"/>
      <c r="CW55" s="248"/>
      <c r="CX55" s="248"/>
      <c r="CY55" s="248"/>
      <c r="CZ55" s="248"/>
      <c r="DA55" s="248"/>
      <c r="DB55" s="248"/>
      <c r="DC55" s="248"/>
      <c r="DD55" s="248"/>
      <c r="DE55" s="248"/>
      <c r="DF55" s="248"/>
      <c r="DG55" s="248"/>
      <c r="DH55" s="248"/>
      <c r="DI55" s="248"/>
      <c r="DJ55" s="248"/>
      <c r="DK55" s="248"/>
      <c r="DL55" s="248"/>
      <c r="DM55" s="248"/>
      <c r="DN55" s="248"/>
      <c r="DO55" s="248"/>
    </row>
    <row r="56" spans="1:119" s="6" customFormat="1" ht="2.4500000000000002" customHeight="1">
      <c r="A56" s="475"/>
      <c r="B56" s="1246"/>
      <c r="C56" s="1247"/>
      <c r="D56" s="475"/>
      <c r="E56" s="247"/>
      <c r="F56" s="524"/>
      <c r="G56" s="496"/>
      <c r="H56" s="497"/>
      <c r="I56" s="497"/>
      <c r="J56" s="497"/>
      <c r="K56" s="497"/>
      <c r="L56" s="497"/>
      <c r="M56" s="497"/>
      <c r="N56" s="497"/>
      <c r="O56" s="497"/>
      <c r="P56" s="497"/>
      <c r="Q56" s="497"/>
      <c r="R56" s="497"/>
      <c r="S56" s="498"/>
      <c r="T56" s="525"/>
      <c r="U56" s="257"/>
      <c r="V56" s="390"/>
      <c r="W56" s="291"/>
      <c r="X56" s="1444"/>
      <c r="Y56" s="1444"/>
      <c r="Z56" s="1444"/>
      <c r="AA56" s="1444"/>
      <c r="AB56" s="1444"/>
      <c r="AC56" s="1444"/>
      <c r="AD56" s="1444"/>
      <c r="AE56" s="1444"/>
      <c r="AF56" s="1444"/>
      <c r="AG56" s="1444"/>
      <c r="AH56" s="1444"/>
      <c r="AI56" s="1444"/>
      <c r="AJ56" s="1444"/>
      <c r="AK56" s="1445"/>
      <c r="AL56" s="248"/>
      <c r="AM56" s="248"/>
      <c r="AN56" s="327"/>
      <c r="AO56" s="429"/>
      <c r="AP56" s="406"/>
      <c r="AQ56" s="235"/>
      <c r="AR56" s="235"/>
      <c r="AS56" s="235"/>
      <c r="AT56" s="235"/>
      <c r="AU56" s="235"/>
      <c r="AV56" s="241"/>
      <c r="AW56" s="238"/>
      <c r="AX56" s="238"/>
      <c r="AY56" s="411"/>
      <c r="AZ56" s="411"/>
      <c r="BA56" s="329"/>
      <c r="BB56" s="248"/>
      <c r="BC56" s="248"/>
      <c r="BD56" s="248"/>
      <c r="BE56" s="551"/>
      <c r="BF56" s="552"/>
      <c r="BG56" s="552"/>
      <c r="BH56" s="552"/>
      <c r="BI56" s="552"/>
      <c r="BJ56" s="552"/>
      <c r="BK56" s="552"/>
      <c r="BL56" s="552"/>
      <c r="BM56" s="552"/>
      <c r="BN56" s="552"/>
      <c r="BO56" s="552"/>
      <c r="BP56" s="552"/>
      <c r="BQ56" s="552"/>
      <c r="BR56" s="329"/>
      <c r="BS56" s="248"/>
      <c r="BT56" s="256"/>
      <c r="BU56" s="801"/>
      <c r="BV56" s="812"/>
      <c r="BW56" s="243"/>
      <c r="BX56" s="243"/>
      <c r="BY56" s="243"/>
      <c r="BZ56" s="243"/>
      <c r="CA56" s="243"/>
      <c r="CB56" s="243"/>
      <c r="CC56" s="243"/>
      <c r="CD56" s="243"/>
      <c r="CE56" s="243"/>
      <c r="CF56" s="243"/>
      <c r="CG56" s="243"/>
      <c r="CH56" s="243"/>
      <c r="CI56" s="806"/>
      <c r="CJ56" s="256"/>
      <c r="CK56" s="248"/>
      <c r="CL56" s="248"/>
      <c r="CM56" s="420"/>
      <c r="CN56" s="421"/>
      <c r="CO56" s="421"/>
      <c r="CP56" s="421"/>
      <c r="CQ56" s="421"/>
      <c r="CR56" s="421"/>
      <c r="CS56" s="421"/>
      <c r="CT56" s="421"/>
      <c r="CU56" s="421"/>
      <c r="CV56" s="421"/>
      <c r="CW56" s="421"/>
      <c r="CX56" s="421"/>
      <c r="CY56" s="421"/>
      <c r="CZ56" s="421"/>
      <c r="DA56" s="421"/>
      <c r="DB56" s="422"/>
      <c r="DC56" s="248"/>
      <c r="DD56" s="248"/>
      <c r="DE56" s="248"/>
      <c r="DF56" s="248"/>
      <c r="DG56" s="248"/>
      <c r="DH56" s="248"/>
      <c r="DI56" s="248"/>
      <c r="DJ56" s="248"/>
      <c r="DK56" s="248"/>
      <c r="DL56" s="248"/>
      <c r="DM56" s="248"/>
      <c r="DN56" s="248"/>
      <c r="DO56" s="248"/>
    </row>
    <row r="57" spans="1:119" s="6" customFormat="1" ht="11.85" customHeight="1" thickBot="1">
      <c r="A57" s="475"/>
      <c r="B57" s="1248"/>
      <c r="C57" s="1249"/>
      <c r="D57" s="475"/>
      <c r="E57" s="247"/>
      <c r="F57" s="524"/>
      <c r="G57" s="499"/>
      <c r="H57" s="566" t="s">
        <v>358</v>
      </c>
      <c r="I57" s="253"/>
      <c r="J57" s="253"/>
      <c r="K57" s="512"/>
      <c r="L57" s="512"/>
      <c r="M57" s="512"/>
      <c r="N57" s="512"/>
      <c r="O57" s="512"/>
      <c r="P57" s="1364"/>
      <c r="Q57" s="1364"/>
      <c r="R57" s="1364"/>
      <c r="S57" s="501"/>
      <c r="T57" s="525"/>
      <c r="U57" s="257"/>
      <c r="V57" s="149"/>
      <c r="W57" s="149"/>
      <c r="X57" s="149"/>
      <c r="Y57" s="149"/>
      <c r="Z57" s="149"/>
      <c r="AA57" s="149"/>
      <c r="AB57" s="149"/>
      <c r="AC57" s="149"/>
      <c r="AD57" s="149"/>
      <c r="AE57" s="149"/>
      <c r="AF57" s="149"/>
      <c r="AG57" s="149"/>
      <c r="AH57" s="149"/>
      <c r="AI57" s="149"/>
      <c r="AJ57" s="149"/>
      <c r="AK57" s="149"/>
      <c r="AL57" s="248"/>
      <c r="AM57" s="248"/>
      <c r="AN57" s="327"/>
      <c r="AO57" s="429"/>
      <c r="AP57" s="242" t="str">
        <f>"AfA: "&amp;Kalkulation_Eigenstrom!AP33&amp;""</f>
        <v xml:space="preserve">AfA: </v>
      </c>
      <c r="AQ57" s="235"/>
      <c r="AR57" s="235"/>
      <c r="AS57" s="235"/>
      <c r="AT57" s="235"/>
      <c r="AU57" s="235"/>
      <c r="AV57" s="250" t="s">
        <v>6</v>
      </c>
      <c r="AW57" s="482">
        <v>10</v>
      </c>
      <c r="AX57" s="438" t="s">
        <v>316</v>
      </c>
      <c r="AY57" s="1292">
        <f>ZRB!G55</f>
        <v>0</v>
      </c>
      <c r="AZ57" s="1292"/>
      <c r="BA57" s="329"/>
      <c r="BB57" s="248"/>
      <c r="BC57" s="248"/>
      <c r="BD57" s="248"/>
      <c r="BE57" s="394"/>
      <c r="BF57" s="235"/>
      <c r="BG57" s="235"/>
      <c r="BH57" s="235"/>
      <c r="BI57" s="235"/>
      <c r="BJ57" s="235"/>
      <c r="BK57" s="235"/>
      <c r="BL57" s="235"/>
      <c r="BM57" s="235"/>
      <c r="BN57" s="235"/>
      <c r="BO57" s="235"/>
      <c r="BP57" s="235"/>
      <c r="BQ57" s="235"/>
      <c r="BR57" s="329"/>
      <c r="BS57" s="248"/>
      <c r="BT57" s="256"/>
      <c r="BU57" s="801"/>
      <c r="BV57" s="812" t="str">
        <f>IF(OR(BU19=1,BU21=1),"","an der Höhe der jeweils in dem Jahr gültigen EEG-Umlage bemessen wird.")</f>
        <v/>
      </c>
      <c r="BW57" s="243"/>
      <c r="BX57" s="243"/>
      <c r="BY57" s="243"/>
      <c r="BZ57" s="243"/>
      <c r="CA57" s="243"/>
      <c r="CB57" s="243"/>
      <c r="CC57" s="243"/>
      <c r="CD57" s="243"/>
      <c r="CE57" s="243"/>
      <c r="CF57" s="243"/>
      <c r="CG57" s="243"/>
      <c r="CH57" s="243"/>
      <c r="CI57" s="806"/>
      <c r="CJ57" s="256"/>
      <c r="CK57" s="248"/>
      <c r="CL57" s="248"/>
      <c r="CM57" s="1241" t="s">
        <v>312</v>
      </c>
      <c r="CN57" s="1242"/>
      <c r="CO57" s="1242"/>
      <c r="CP57" s="1242"/>
      <c r="CQ57" s="1242"/>
      <c r="CR57" s="1242"/>
      <c r="CS57" s="1242"/>
      <c r="CT57" s="1242"/>
      <c r="CU57" s="1242"/>
      <c r="CV57" s="1242"/>
      <c r="CW57" s="1242"/>
      <c r="CX57" s="1242"/>
      <c r="CY57" s="1242"/>
      <c r="CZ57" s="1242"/>
      <c r="DA57" s="1242"/>
      <c r="DB57" s="1277"/>
      <c r="DC57" s="248"/>
      <c r="DD57" s="248"/>
      <c r="DE57" s="248"/>
      <c r="DF57" s="248"/>
      <c r="DG57" s="248"/>
      <c r="DH57" s="248"/>
      <c r="DI57" s="248"/>
      <c r="DJ57" s="248"/>
      <c r="DK57" s="248"/>
      <c r="DL57" s="248"/>
      <c r="DM57" s="248"/>
      <c r="DN57" s="248"/>
      <c r="DO57" s="248"/>
    </row>
    <row r="58" spans="1:119" s="6" customFormat="1" ht="2.4500000000000002" customHeight="1" thickTop="1">
      <c r="A58" s="475"/>
      <c r="B58" s="477"/>
      <c r="C58" s="475"/>
      <c r="D58" s="475"/>
      <c r="E58" s="247"/>
      <c r="F58" s="524"/>
      <c r="G58" s="260"/>
      <c r="H58" s="261"/>
      <c r="I58" s="261"/>
      <c r="J58" s="261"/>
      <c r="K58" s="261"/>
      <c r="L58" s="261"/>
      <c r="M58" s="261"/>
      <c r="N58" s="261"/>
      <c r="O58" s="262"/>
      <c r="P58" s="262"/>
      <c r="Q58" s="262"/>
      <c r="R58" s="262"/>
      <c r="S58" s="263"/>
      <c r="T58" s="525"/>
      <c r="U58" s="257"/>
      <c r="V58" s="260"/>
      <c r="W58" s="261"/>
      <c r="X58" s="261"/>
      <c r="Y58" s="261"/>
      <c r="Z58" s="261"/>
      <c r="AA58" s="261"/>
      <c r="AB58" s="261"/>
      <c r="AC58" s="261"/>
      <c r="AD58" s="262"/>
      <c r="AE58" s="262"/>
      <c r="AF58" s="262"/>
      <c r="AG58" s="262"/>
      <c r="AH58" s="262"/>
      <c r="AI58" s="262"/>
      <c r="AJ58" s="262"/>
      <c r="AK58" s="263"/>
      <c r="AL58" s="248"/>
      <c r="AM58" s="248"/>
      <c r="AN58" s="327"/>
      <c r="AO58" s="429"/>
      <c r="AP58" s="406"/>
      <c r="AQ58" s="235"/>
      <c r="AR58" s="235"/>
      <c r="AS58" s="235"/>
      <c r="AT58" s="235"/>
      <c r="AU58" s="235"/>
      <c r="AV58" s="235"/>
      <c r="AW58" s="238"/>
      <c r="AX58" s="238"/>
      <c r="AY58" s="412"/>
      <c r="AZ58" s="412"/>
      <c r="BA58" s="329"/>
      <c r="BB58" s="248"/>
      <c r="BC58" s="248"/>
      <c r="BD58" s="248"/>
      <c r="BE58" s="394"/>
      <c r="BF58" s="235"/>
      <c r="BG58" s="235"/>
      <c r="BH58" s="235"/>
      <c r="BI58" s="235"/>
      <c r="BJ58" s="235"/>
      <c r="BK58" s="235"/>
      <c r="BL58" s="235"/>
      <c r="BM58" s="235"/>
      <c r="BN58" s="235"/>
      <c r="BO58" s="235"/>
      <c r="BP58" s="653"/>
      <c r="BQ58" s="235"/>
      <c r="BR58" s="329"/>
      <c r="BS58" s="248"/>
      <c r="BT58" s="256"/>
      <c r="BU58" s="801"/>
      <c r="BV58" s="812"/>
      <c r="BW58" s="243"/>
      <c r="BX58" s="243"/>
      <c r="BY58" s="243"/>
      <c r="BZ58" s="243"/>
      <c r="CA58" s="243"/>
      <c r="CB58" s="243"/>
      <c r="CC58" s="243"/>
      <c r="CD58" s="243"/>
      <c r="CE58" s="243"/>
      <c r="CF58" s="243"/>
      <c r="CG58" s="243"/>
      <c r="CH58" s="243"/>
      <c r="CI58" s="806"/>
      <c r="CJ58" s="256"/>
      <c r="CK58" s="248"/>
      <c r="CL58" s="248"/>
      <c r="CM58" s="1241"/>
      <c r="CN58" s="1242"/>
      <c r="CO58" s="1242"/>
      <c r="CP58" s="1242"/>
      <c r="CQ58" s="1242"/>
      <c r="CR58" s="1242"/>
      <c r="CS58" s="1242"/>
      <c r="CT58" s="1242"/>
      <c r="CU58" s="1242"/>
      <c r="CV58" s="1242"/>
      <c r="CW58" s="1242"/>
      <c r="CX58" s="1242"/>
      <c r="CY58" s="1242"/>
      <c r="CZ58" s="1242"/>
      <c r="DA58" s="1242"/>
      <c r="DB58" s="1277"/>
      <c r="DC58" s="248"/>
      <c r="DD58" s="248"/>
      <c r="DE58" s="248"/>
      <c r="DF58" s="248"/>
      <c r="DG58" s="248"/>
      <c r="DH58" s="248"/>
      <c r="DI58" s="248"/>
      <c r="DJ58" s="248"/>
      <c r="DK58" s="248"/>
      <c r="DL58" s="248"/>
      <c r="DM58" s="248"/>
      <c r="DN58" s="248"/>
      <c r="DO58" s="248"/>
    </row>
    <row r="59" spans="1:119" s="6" customFormat="1" ht="11.85" customHeight="1">
      <c r="A59" s="475"/>
      <c r="B59" s="477"/>
      <c r="C59" s="475"/>
      <c r="D59" s="475"/>
      <c r="E59" s="247"/>
      <c r="F59" s="524"/>
      <c r="G59" s="1370" t="s">
        <v>267</v>
      </c>
      <c r="H59" s="1371"/>
      <c r="I59" s="1371"/>
      <c r="J59" s="1371"/>
      <c r="K59" s="1371"/>
      <c r="L59" s="520"/>
      <c r="M59" s="520"/>
      <c r="N59" s="520"/>
      <c r="O59" s="520"/>
      <c r="P59" s="1372">
        <f>ZRB!G23</f>
        <v>0</v>
      </c>
      <c r="Q59" s="1372"/>
      <c r="R59" s="1372"/>
      <c r="S59" s="522"/>
      <c r="T59" s="525"/>
      <c r="U59" s="257"/>
      <c r="V59" s="1265" t="s">
        <v>298</v>
      </c>
      <c r="W59" s="1266"/>
      <c r="X59" s="1266"/>
      <c r="Y59" s="1266"/>
      <c r="Z59" s="1266"/>
      <c r="AA59" s="1266"/>
      <c r="AB59" s="1266"/>
      <c r="AC59" s="1266"/>
      <c r="AD59" s="1266"/>
      <c r="AE59" s="1266"/>
      <c r="AF59" s="1266"/>
      <c r="AG59" s="1266"/>
      <c r="AH59" s="1266"/>
      <c r="AI59" s="1266"/>
      <c r="AJ59" s="1266"/>
      <c r="AK59" s="1267"/>
      <c r="AL59" s="248"/>
      <c r="AM59" s="248"/>
      <c r="AN59" s="327"/>
      <c r="AO59" s="429"/>
      <c r="AP59" s="242" t="s">
        <v>221</v>
      </c>
      <c r="AQ59" s="235"/>
      <c r="AR59" s="235"/>
      <c r="AS59" s="417"/>
      <c r="AT59" s="417"/>
      <c r="AU59" s="418"/>
      <c r="AV59" s="419" t="s">
        <v>302</v>
      </c>
      <c r="AW59" s="1353">
        <f>ZRB!F58</f>
        <v>0.03</v>
      </c>
      <c r="AX59" s="1354"/>
      <c r="AY59" s="1292">
        <f>ZRB!G58</f>
        <v>0</v>
      </c>
      <c r="AZ59" s="1292"/>
      <c r="BA59" s="329"/>
      <c r="BB59" s="248"/>
      <c r="BC59" s="248"/>
      <c r="BD59" s="248"/>
      <c r="BE59" s="1290" t="s">
        <v>326</v>
      </c>
      <c r="BF59" s="1291"/>
      <c r="BG59" s="1291"/>
      <c r="BH59" s="1291"/>
      <c r="BI59" s="1291"/>
      <c r="BJ59" s="1291"/>
      <c r="BK59" s="1291"/>
      <c r="BL59" s="1291"/>
      <c r="BM59" s="1291"/>
      <c r="BN59" s="1291"/>
      <c r="BO59" s="1289">
        <f>ZRB!G86</f>
        <v>0</v>
      </c>
      <c r="BP59" s="1289"/>
      <c r="BQ59" s="1289"/>
      <c r="BR59" s="329"/>
      <c r="BS59" s="248"/>
      <c r="BT59" s="256"/>
      <c r="BU59" s="801"/>
      <c r="BV59" s="812" t="str">
        <f>IF(OR(BU19=1,BU21=1),"","Als Benutzer müssen Sie in eigener Verantwortung einen ")</f>
        <v/>
      </c>
      <c r="BW59" s="243"/>
      <c r="BX59" s="243"/>
      <c r="BY59" s="243"/>
      <c r="BZ59" s="243"/>
      <c r="CA59" s="243"/>
      <c r="CB59" s="243"/>
      <c r="CC59" s="243"/>
      <c r="CD59" s="243"/>
      <c r="CE59" s="243"/>
      <c r="CF59" s="243"/>
      <c r="CG59" s="243"/>
      <c r="CH59" s="243"/>
      <c r="CI59" s="806"/>
      <c r="CJ59" s="256"/>
      <c r="CK59" s="248"/>
      <c r="CL59" s="248"/>
      <c r="CM59" s="1241"/>
      <c r="CN59" s="1242"/>
      <c r="CO59" s="1242"/>
      <c r="CP59" s="1242"/>
      <c r="CQ59" s="1242"/>
      <c r="CR59" s="1242"/>
      <c r="CS59" s="1242"/>
      <c r="CT59" s="1242"/>
      <c r="CU59" s="1242"/>
      <c r="CV59" s="1242"/>
      <c r="CW59" s="1242"/>
      <c r="CX59" s="1242"/>
      <c r="CY59" s="1242"/>
      <c r="CZ59" s="1242"/>
      <c r="DA59" s="1242"/>
      <c r="DB59" s="1277"/>
      <c r="DC59" s="248"/>
      <c r="DD59" s="248"/>
      <c r="DE59" s="248"/>
      <c r="DF59" s="248"/>
      <c r="DG59" s="248"/>
      <c r="DH59" s="248"/>
      <c r="DI59" s="248"/>
      <c r="DJ59" s="248"/>
      <c r="DK59" s="248"/>
      <c r="DL59" s="248"/>
      <c r="DM59" s="248"/>
      <c r="DN59" s="248"/>
      <c r="DO59" s="248"/>
    </row>
    <row r="60" spans="1:119" s="6" customFormat="1" ht="2.4500000000000002" customHeight="1" thickBot="1">
      <c r="A60" s="475"/>
      <c r="B60" s="477"/>
      <c r="C60" s="475"/>
      <c r="D60" s="475"/>
      <c r="E60" s="247"/>
      <c r="F60" s="524"/>
      <c r="G60" s="1370"/>
      <c r="H60" s="1371"/>
      <c r="I60" s="1371"/>
      <c r="J60" s="1371"/>
      <c r="K60" s="1371"/>
      <c r="L60" s="520"/>
      <c r="M60" s="520"/>
      <c r="N60" s="520"/>
      <c r="O60" s="520"/>
      <c r="P60" s="523"/>
      <c r="Q60" s="523"/>
      <c r="R60" s="523"/>
      <c r="S60" s="522"/>
      <c r="T60" s="525"/>
      <c r="U60" s="257"/>
      <c r="V60" s="1265"/>
      <c r="W60" s="1266"/>
      <c r="X60" s="1266"/>
      <c r="Y60" s="1266"/>
      <c r="Z60" s="1266"/>
      <c r="AA60" s="1266"/>
      <c r="AB60" s="1266"/>
      <c r="AC60" s="1266"/>
      <c r="AD60" s="1266"/>
      <c r="AE60" s="1266"/>
      <c r="AF60" s="1266"/>
      <c r="AG60" s="1266"/>
      <c r="AH60" s="1266"/>
      <c r="AI60" s="1266"/>
      <c r="AJ60" s="1266"/>
      <c r="AK60" s="1267"/>
      <c r="AL60" s="248"/>
      <c r="AM60" s="248"/>
      <c r="AN60" s="327"/>
      <c r="AO60" s="429"/>
      <c r="AP60" s="1268" t="s">
        <v>309</v>
      </c>
      <c r="AQ60" s="1268"/>
      <c r="AR60" s="1268"/>
      <c r="AS60" s="1268"/>
      <c r="AT60" s="1268"/>
      <c r="AU60" s="1268"/>
      <c r="AV60" s="1268"/>
      <c r="AW60" s="1268"/>
      <c r="AX60" s="1268"/>
      <c r="AY60" s="1257">
        <f>ZRB!G71</f>
        <v>0</v>
      </c>
      <c r="AZ60" s="1257"/>
      <c r="BA60" s="436"/>
      <c r="BB60" s="248"/>
      <c r="BC60" s="248"/>
      <c r="BD60" s="248"/>
      <c r="BE60" s="1290"/>
      <c r="BF60" s="1291"/>
      <c r="BG60" s="1291"/>
      <c r="BH60" s="1291"/>
      <c r="BI60" s="1291"/>
      <c r="BJ60" s="1291"/>
      <c r="BK60" s="1291"/>
      <c r="BL60" s="1291"/>
      <c r="BM60" s="1291"/>
      <c r="BN60" s="1291"/>
      <c r="BO60" s="1289"/>
      <c r="BP60" s="1289"/>
      <c r="BQ60" s="1289"/>
      <c r="BR60" s="329"/>
      <c r="BS60" s="248"/>
      <c r="BT60" s="256"/>
      <c r="BU60" s="801"/>
      <c r="BV60" s="812"/>
      <c r="BW60" s="256"/>
      <c r="BX60" s="256"/>
      <c r="BY60" s="256"/>
      <c r="BZ60" s="256"/>
      <c r="CA60" s="256"/>
      <c r="CB60" s="256"/>
      <c r="CC60" s="256"/>
      <c r="CD60" s="256"/>
      <c r="CE60" s="256"/>
      <c r="CF60" s="256"/>
      <c r="CG60" s="256"/>
      <c r="CH60" s="256"/>
      <c r="CI60" s="804"/>
      <c r="CJ60" s="256"/>
      <c r="CK60" s="248"/>
      <c r="CL60" s="248"/>
      <c r="CM60" s="423"/>
      <c r="CN60" s="371"/>
      <c r="CO60" s="371"/>
      <c r="CP60" s="371"/>
      <c r="CQ60" s="371"/>
      <c r="CR60" s="371"/>
      <c r="CS60" s="371"/>
      <c r="CT60" s="371"/>
      <c r="CU60" s="371"/>
      <c r="CV60" s="371"/>
      <c r="CW60" s="371"/>
      <c r="CX60" s="371"/>
      <c r="CY60" s="371"/>
      <c r="CZ60" s="371"/>
      <c r="DA60" s="371"/>
      <c r="DB60" s="424"/>
      <c r="DC60" s="248"/>
      <c r="DD60" s="248"/>
      <c r="DE60" s="248"/>
      <c r="DF60" s="248"/>
      <c r="DG60" s="248"/>
      <c r="DH60" s="248"/>
      <c r="DI60" s="248"/>
      <c r="DJ60" s="248"/>
      <c r="DK60" s="248"/>
      <c r="DL60" s="248"/>
      <c r="DM60" s="248"/>
      <c r="DN60" s="248"/>
      <c r="DO60" s="248"/>
    </row>
    <row r="61" spans="1:119" s="6" customFormat="1" ht="11.85" customHeight="1" thickTop="1">
      <c r="A61" s="475"/>
      <c r="B61" s="1244" t="s">
        <v>538</v>
      </c>
      <c r="C61" s="1245"/>
      <c r="D61" s="475"/>
      <c r="E61" s="247"/>
      <c r="F61" s="524"/>
      <c r="G61" s="496"/>
      <c r="H61" s="507" t="s">
        <v>351</v>
      </c>
      <c r="I61" s="233"/>
      <c r="J61" s="233"/>
      <c r="K61" s="503"/>
      <c r="L61" s="503"/>
      <c r="M61" s="503"/>
      <c r="N61" s="503"/>
      <c r="O61" s="503"/>
      <c r="P61" s="1355">
        <f>ZRB!G32</f>
        <v>0</v>
      </c>
      <c r="Q61" s="1355"/>
      <c r="R61" s="1355"/>
      <c r="S61" s="498"/>
      <c r="T61" s="525"/>
      <c r="U61" s="257"/>
      <c r="V61" s="1265"/>
      <c r="W61" s="1266"/>
      <c r="X61" s="1266"/>
      <c r="Y61" s="1266"/>
      <c r="Z61" s="1266"/>
      <c r="AA61" s="1266"/>
      <c r="AB61" s="1266"/>
      <c r="AC61" s="1266"/>
      <c r="AD61" s="1266"/>
      <c r="AE61" s="1266"/>
      <c r="AF61" s="1266"/>
      <c r="AG61" s="1266"/>
      <c r="AH61" s="1266"/>
      <c r="AI61" s="1266"/>
      <c r="AJ61" s="1266"/>
      <c r="AK61" s="1267"/>
      <c r="AL61" s="248"/>
      <c r="AM61" s="248"/>
      <c r="AN61" s="231">
        <v>30</v>
      </c>
      <c r="AO61" s="428"/>
      <c r="AP61" s="1268"/>
      <c r="AQ61" s="1268"/>
      <c r="AR61" s="1268"/>
      <c r="AS61" s="1268"/>
      <c r="AT61" s="1268"/>
      <c r="AU61" s="1268"/>
      <c r="AV61" s="1268"/>
      <c r="AW61" s="1268"/>
      <c r="AX61" s="1268"/>
      <c r="AY61" s="1257"/>
      <c r="AZ61" s="1257"/>
      <c r="BA61" s="436"/>
      <c r="BB61" s="248"/>
      <c r="BC61" s="248"/>
      <c r="BD61" s="248"/>
      <c r="BE61" s="656"/>
      <c r="BF61" s="657"/>
      <c r="BG61" s="657"/>
      <c r="BH61" s="657"/>
      <c r="BI61" s="657"/>
      <c r="BJ61" s="657"/>
      <c r="BK61" s="657"/>
      <c r="BL61" s="657"/>
      <c r="BM61" s="657"/>
      <c r="BN61" s="657"/>
      <c r="BO61" s="654"/>
      <c r="BP61" s="654"/>
      <c r="BQ61" s="654"/>
      <c r="BR61" s="329"/>
      <c r="BS61" s="248"/>
      <c r="BT61" s="256"/>
      <c r="BU61" s="801"/>
      <c r="BV61" s="811" t="str">
        <f>IF(OR(BU19=1,BU21=1),"","Schätzwert für die Höhe der Ø EEG-Umlage während der "&amp;ROUND(E35,0)&amp;" Jahre Laufzeit")</f>
        <v/>
      </c>
      <c r="BW61" s="256"/>
      <c r="BX61" s="256"/>
      <c r="BY61" s="256"/>
      <c r="BZ61" s="256"/>
      <c r="CA61" s="256"/>
      <c r="CB61" s="256"/>
      <c r="CC61" s="256"/>
      <c r="CD61" s="256"/>
      <c r="CE61" s="256"/>
      <c r="CF61" s="256"/>
      <c r="CG61" s="256"/>
      <c r="CH61" s="256"/>
      <c r="CI61" s="804"/>
      <c r="CJ61" s="256"/>
      <c r="CK61" s="248"/>
      <c r="CL61" s="247">
        <v>210</v>
      </c>
      <c r="CM61" s="423"/>
      <c r="CN61" s="1318" t="s">
        <v>319</v>
      </c>
      <c r="CO61" s="1318"/>
      <c r="CP61" s="1318"/>
      <c r="CQ61" s="1318"/>
      <c r="CR61" s="1318"/>
      <c r="CS61" s="1318"/>
      <c r="CT61" s="1318"/>
      <c r="CU61" s="1318"/>
      <c r="CV61" s="416"/>
      <c r="CW61" s="1342">
        <f>CL61/1000</f>
        <v>0.21</v>
      </c>
      <c r="CX61" s="1343"/>
      <c r="CY61" s="371"/>
      <c r="CZ61" s="371"/>
      <c r="DA61" s="371"/>
      <c r="DB61" s="424"/>
      <c r="DC61" s="248"/>
      <c r="DD61" s="248"/>
      <c r="DE61" s="248"/>
      <c r="DF61" s="248"/>
      <c r="DG61" s="248"/>
      <c r="DH61" s="248"/>
      <c r="DI61" s="248"/>
      <c r="DJ61" s="248"/>
      <c r="DK61" s="248"/>
      <c r="DL61" s="248"/>
      <c r="DM61" s="248"/>
      <c r="DN61" s="248"/>
      <c r="DO61" s="248"/>
    </row>
    <row r="62" spans="1:119" s="6" customFormat="1" ht="2.4500000000000002" customHeight="1">
      <c r="A62" s="475"/>
      <c r="B62" s="1246"/>
      <c r="C62" s="1247"/>
      <c r="D62" s="475"/>
      <c r="E62" s="247"/>
      <c r="F62" s="524"/>
      <c r="G62" s="496"/>
      <c r="H62" s="542"/>
      <c r="I62" s="236"/>
      <c r="J62" s="236"/>
      <c r="K62" s="497"/>
      <c r="L62" s="497"/>
      <c r="M62" s="497"/>
      <c r="N62" s="497"/>
      <c r="O62" s="497"/>
      <c r="P62" s="502"/>
      <c r="Q62" s="502"/>
      <c r="R62" s="502"/>
      <c r="S62" s="498"/>
      <c r="T62" s="525"/>
      <c r="U62" s="257"/>
      <c r="V62" s="391"/>
      <c r="W62" s="1359" t="str">
        <f>ZRB!B16</f>
        <v>Ab 04/2012 entfällt die Förderung der Eigenstromnutzung durch das EEG. 
Zwischen 04/2012 und 08/2014 gilt: Bei Dachanlagen von 10 - 1.000 kWp wird  darüber hinaus eine "Mindesteigenstromnutzung" von 10% gefordert (Die Einspeisevergütung wurde beschränkt auf 90% des erzeugten Stroms; Marktintegrationsmodell EEG); 
Nach 08/2014 entfällt die Regelung zur "Mindesteigenstromnutzung".</v>
      </c>
      <c r="X62" s="1359"/>
      <c r="Y62" s="1359"/>
      <c r="Z62" s="1359"/>
      <c r="AA62" s="1359"/>
      <c r="AB62" s="1359"/>
      <c r="AC62" s="1359"/>
      <c r="AD62" s="1359"/>
      <c r="AE62" s="1359"/>
      <c r="AF62" s="1359"/>
      <c r="AG62" s="1359"/>
      <c r="AH62" s="1359"/>
      <c r="AI62" s="1359"/>
      <c r="AJ62" s="1359"/>
      <c r="AK62" s="264"/>
      <c r="AL62" s="248"/>
      <c r="AM62" s="248"/>
      <c r="AN62" s="327"/>
      <c r="AO62" s="429"/>
      <c r="AP62" s="1268"/>
      <c r="AQ62" s="1268"/>
      <c r="AR62" s="1268"/>
      <c r="AS62" s="1268"/>
      <c r="AT62" s="1268"/>
      <c r="AU62" s="1268"/>
      <c r="AV62" s="1268"/>
      <c r="AW62" s="1268"/>
      <c r="AX62" s="1268"/>
      <c r="AY62" s="1257"/>
      <c r="AZ62" s="1257"/>
      <c r="BA62" s="436"/>
      <c r="BB62" s="248"/>
      <c r="BC62" s="248"/>
      <c r="BD62" s="248"/>
      <c r="BE62" s="656"/>
      <c r="BF62" s="657"/>
      <c r="BG62" s="657"/>
      <c r="BH62" s="657"/>
      <c r="BI62" s="657"/>
      <c r="BJ62" s="657"/>
      <c r="BK62" s="657"/>
      <c r="BL62" s="657"/>
      <c r="BM62" s="657"/>
      <c r="BN62" s="657"/>
      <c r="BO62" s="654"/>
      <c r="BP62" s="654"/>
      <c r="BQ62" s="654"/>
      <c r="BR62" s="329"/>
      <c r="BS62" s="248"/>
      <c r="BT62" s="256"/>
      <c r="BU62" s="801"/>
      <c r="BV62" s="813"/>
      <c r="BW62" s="256"/>
      <c r="BX62" s="256"/>
      <c r="BY62" s="256"/>
      <c r="BZ62" s="256"/>
      <c r="CA62" s="256"/>
      <c r="CB62" s="256"/>
      <c r="CC62" s="256"/>
      <c r="CD62" s="256"/>
      <c r="CE62" s="256"/>
      <c r="CF62" s="256"/>
      <c r="CG62" s="256"/>
      <c r="CH62" s="256"/>
      <c r="CI62" s="804"/>
      <c r="CJ62" s="256"/>
      <c r="CK62" s="248"/>
      <c r="CL62" s="248"/>
      <c r="CM62" s="423"/>
      <c r="CN62" s="1318"/>
      <c r="CO62" s="1318"/>
      <c r="CP62" s="1318"/>
      <c r="CQ62" s="1318"/>
      <c r="CR62" s="1318"/>
      <c r="CS62" s="1318"/>
      <c r="CT62" s="1318"/>
      <c r="CU62" s="1318"/>
      <c r="CV62" s="416"/>
      <c r="CW62" s="416"/>
      <c r="CX62" s="416"/>
      <c r="CY62" s="371"/>
      <c r="CZ62" s="371"/>
      <c r="DA62" s="371"/>
      <c r="DB62" s="424"/>
      <c r="DC62" s="248"/>
      <c r="DD62" s="248"/>
      <c r="DE62" s="248"/>
      <c r="DF62" s="248"/>
      <c r="DG62" s="248"/>
      <c r="DH62" s="248"/>
      <c r="DI62" s="248"/>
      <c r="DJ62" s="248"/>
      <c r="DK62" s="248"/>
      <c r="DL62" s="248"/>
      <c r="DM62" s="248"/>
      <c r="DN62" s="248"/>
      <c r="DO62" s="248"/>
    </row>
    <row r="63" spans="1:119" s="6" customFormat="1" ht="11.85" customHeight="1">
      <c r="A63" s="475"/>
      <c r="B63" s="1246"/>
      <c r="C63" s="1247"/>
      <c r="D63" s="475"/>
      <c r="E63" s="247"/>
      <c r="F63" s="524"/>
      <c r="G63" s="496"/>
      <c r="H63" s="507" t="s">
        <v>354</v>
      </c>
      <c r="I63" s="497"/>
      <c r="J63" s="497"/>
      <c r="K63" s="497"/>
      <c r="L63" s="497"/>
      <c r="M63" s="1368">
        <f>ZRB!F30/100</f>
        <v>0.3</v>
      </c>
      <c r="N63" s="1369"/>
      <c r="O63" s="497"/>
      <c r="P63" s="1355">
        <f>ZRB!G31</f>
        <v>0</v>
      </c>
      <c r="Q63" s="1355"/>
      <c r="R63" s="1355"/>
      <c r="S63" s="498"/>
      <c r="T63" s="525"/>
      <c r="U63" s="257"/>
      <c r="V63" s="391"/>
      <c r="W63" s="1359"/>
      <c r="X63" s="1359"/>
      <c r="Y63" s="1359"/>
      <c r="Z63" s="1359"/>
      <c r="AA63" s="1359"/>
      <c r="AB63" s="1359"/>
      <c r="AC63" s="1359"/>
      <c r="AD63" s="1359"/>
      <c r="AE63" s="1359"/>
      <c r="AF63" s="1359"/>
      <c r="AG63" s="1359"/>
      <c r="AH63" s="1359"/>
      <c r="AI63" s="1359"/>
      <c r="AJ63" s="1359"/>
      <c r="AK63" s="264"/>
      <c r="AL63" s="248"/>
      <c r="AM63" s="248"/>
      <c r="AN63" s="327"/>
      <c r="AO63" s="429"/>
      <c r="AP63" s="1261" t="s">
        <v>269</v>
      </c>
      <c r="AQ63" s="1261"/>
      <c r="AR63" s="1261"/>
      <c r="AS63" s="1261"/>
      <c r="AT63" s="1261"/>
      <c r="AU63" s="1261"/>
      <c r="AV63" s="1261"/>
      <c r="AW63" s="235"/>
      <c r="AX63" s="250" t="s">
        <v>52</v>
      </c>
      <c r="AY63" s="1255"/>
      <c r="AZ63" s="1255"/>
      <c r="BA63" s="329"/>
      <c r="BB63" s="248"/>
      <c r="BC63" s="248"/>
      <c r="BD63" s="248"/>
      <c r="BE63" s="394"/>
      <c r="BF63" s="1295" t="str">
        <f>IF(Kalkulation_Eigenstrom!AN51=3,"","bis "&amp;ZRB!Z7*100&amp;"%")</f>
        <v/>
      </c>
      <c r="BG63" s="1252" t="str">
        <f>IF(OR(Kalkulation_Eigenstrom!$AN$51=3,$BM$63=0),"",ZRB!V9)</f>
        <v/>
      </c>
      <c r="BH63" s="1252"/>
      <c r="BI63" s="1253" t="str">
        <f>IF(OR(Kalkulation_Eigenstrom!$AN$51=3,$BM$63=0),"",ZRB!W9)</f>
        <v/>
      </c>
      <c r="BJ63" s="1253"/>
      <c r="BK63" s="1294" t="str">
        <f>IF(OR(Kalkulation_Eigenstrom!$AN$51=3,$BM$63=0),"",ZRB!AE9)</f>
        <v/>
      </c>
      <c r="BL63" s="1294"/>
      <c r="BM63" s="1254" t="str">
        <f>IF(Kalkulation_Eigenstrom!AN51=3,"",ZRB!Z9)</f>
        <v/>
      </c>
      <c r="BN63" s="1254"/>
      <c r="BO63" s="1307" t="str">
        <f>IF(Kalkulation_Eigenstrom!$AN$51&lt;3,IF(ZRB!G90&gt;ZRB!G91,""&amp;ROUND(ZRB!G92*100,1)&amp;"%
(0-"&amp;ZRB!G91&amp;"J.)",""),"")</f>
        <v/>
      </c>
      <c r="BP63" s="1293">
        <f>ZRB!G84</f>
        <v>0</v>
      </c>
      <c r="BQ63" s="1293"/>
      <c r="BR63" s="329"/>
      <c r="BS63" s="248"/>
      <c r="BT63" s="256"/>
      <c r="BU63" s="801"/>
      <c r="BV63" s="812" t="str">
        <f>IF(OR(BU19=1,BU21=1),"","im Programm vorgeben. Die zu bezahlenden EEG- Umlageanteile werden anhand dieses")</f>
        <v/>
      </c>
      <c r="BW63" s="256"/>
      <c r="BX63" s="256"/>
      <c r="BY63" s="256"/>
      <c r="BZ63" s="256"/>
      <c r="CA63" s="256"/>
      <c r="CB63" s="256"/>
      <c r="CC63" s="256"/>
      <c r="CD63" s="256"/>
      <c r="CE63" s="256"/>
      <c r="CF63" s="256"/>
      <c r="CG63" s="256"/>
      <c r="CH63" s="256"/>
      <c r="CI63" s="804"/>
      <c r="CJ63" s="256"/>
      <c r="CK63" s="248"/>
      <c r="CL63" s="247">
        <v>10</v>
      </c>
      <c r="CM63" s="423"/>
      <c r="CN63" s="1329" t="s">
        <v>313</v>
      </c>
      <c r="CO63" s="1329"/>
      <c r="CP63" s="1329"/>
      <c r="CQ63" s="1320" t="s">
        <v>314</v>
      </c>
      <c r="CR63" s="1320"/>
      <c r="CS63" s="1320"/>
      <c r="CT63" s="1320"/>
      <c r="CU63" s="1320"/>
      <c r="CV63" s="416"/>
      <c r="CW63" s="1309">
        <f>ZRB!G100</f>
        <v>0.01</v>
      </c>
      <c r="CX63" s="1310"/>
      <c r="CY63" s="371"/>
      <c r="CZ63" s="371"/>
      <c r="DA63" s="371"/>
      <c r="DB63" s="424"/>
      <c r="DC63" s="248"/>
      <c r="DD63" s="248"/>
      <c r="DE63" s="248"/>
      <c r="DF63" s="248"/>
      <c r="DG63" s="248"/>
      <c r="DH63" s="248"/>
      <c r="DI63" s="248"/>
      <c r="DJ63" s="248"/>
      <c r="DK63" s="248"/>
      <c r="DL63" s="248"/>
      <c r="DM63" s="248"/>
      <c r="DN63" s="248"/>
      <c r="DO63" s="248"/>
    </row>
    <row r="64" spans="1:119" s="6" customFormat="1" ht="2.4500000000000002" customHeight="1">
      <c r="A64" s="475"/>
      <c r="B64" s="1246"/>
      <c r="C64" s="1247"/>
      <c r="D64" s="475"/>
      <c r="E64" s="247"/>
      <c r="F64" s="524"/>
      <c r="G64" s="496"/>
      <c r="H64" s="897"/>
      <c r="I64" s="497"/>
      <c r="J64" s="497"/>
      <c r="K64" s="497"/>
      <c r="L64" s="497"/>
      <c r="M64" s="497"/>
      <c r="N64" s="497"/>
      <c r="O64" s="497"/>
      <c r="P64" s="898"/>
      <c r="Q64" s="898"/>
      <c r="R64" s="898"/>
      <c r="S64" s="498"/>
      <c r="T64" s="525"/>
      <c r="U64" s="257"/>
      <c r="V64" s="391"/>
      <c r="W64" s="1359"/>
      <c r="X64" s="1359"/>
      <c r="Y64" s="1359"/>
      <c r="Z64" s="1359"/>
      <c r="AA64" s="1359"/>
      <c r="AB64" s="1359"/>
      <c r="AC64" s="1359"/>
      <c r="AD64" s="1359"/>
      <c r="AE64" s="1359"/>
      <c r="AF64" s="1359"/>
      <c r="AG64" s="1359"/>
      <c r="AH64" s="1359"/>
      <c r="AI64" s="1359"/>
      <c r="AJ64" s="1359"/>
      <c r="AK64" s="264"/>
      <c r="AL64" s="248"/>
      <c r="AM64" s="248"/>
      <c r="AN64" s="327"/>
      <c r="AO64" s="429"/>
      <c r="AP64" s="242"/>
      <c r="AQ64" s="415"/>
      <c r="AR64" s="407"/>
      <c r="AS64" s="407"/>
      <c r="AT64" s="407"/>
      <c r="AU64" s="407"/>
      <c r="AV64" s="407"/>
      <c r="AW64" s="235"/>
      <c r="AX64" s="238"/>
      <c r="AY64" s="254"/>
      <c r="AZ64" s="254"/>
      <c r="BA64" s="329"/>
      <c r="BB64" s="248"/>
      <c r="BC64" s="248"/>
      <c r="BD64" s="248"/>
      <c r="BE64" s="394"/>
      <c r="BF64" s="1296"/>
      <c r="BG64" s="455"/>
      <c r="BH64" s="237"/>
      <c r="BI64" s="450"/>
      <c r="BJ64" s="237"/>
      <c r="BK64" s="453"/>
      <c r="BL64" s="237"/>
      <c r="BM64" s="237"/>
      <c r="BN64" s="238"/>
      <c r="BO64" s="1307"/>
      <c r="BP64" s="456"/>
      <c r="BQ64" s="237"/>
      <c r="BR64" s="329"/>
      <c r="BS64" s="248"/>
      <c r="BT64" s="256"/>
      <c r="BU64" s="801"/>
      <c r="BV64" s="803"/>
      <c r="BW64" s="256"/>
      <c r="BX64" s="256"/>
      <c r="BY64" s="256"/>
      <c r="BZ64" s="256"/>
      <c r="CA64" s="256"/>
      <c r="CB64" s="256"/>
      <c r="CC64" s="256"/>
      <c r="CD64" s="256"/>
      <c r="CE64" s="256"/>
      <c r="CF64" s="256"/>
      <c r="CG64" s="256"/>
      <c r="CH64" s="256"/>
      <c r="CI64" s="804"/>
      <c r="CJ64" s="256"/>
      <c r="CK64" s="248"/>
      <c r="CL64" s="248"/>
      <c r="CM64" s="423"/>
      <c r="CN64" s="1329"/>
      <c r="CO64" s="1329"/>
      <c r="CP64" s="1329"/>
      <c r="CQ64" s="1320"/>
      <c r="CR64" s="1320"/>
      <c r="CS64" s="1320"/>
      <c r="CT64" s="1320"/>
      <c r="CU64" s="1320"/>
      <c r="CV64" s="416"/>
      <c r="CW64" s="416"/>
      <c r="CX64" s="416"/>
      <c r="CY64" s="371"/>
      <c r="CZ64" s="371"/>
      <c r="DA64" s="371"/>
      <c r="DB64" s="424"/>
      <c r="DC64" s="248"/>
      <c r="DD64" s="248"/>
      <c r="DE64" s="248"/>
      <c r="DF64" s="248"/>
      <c r="DG64" s="248"/>
      <c r="DH64" s="248"/>
      <c r="DI64" s="248"/>
      <c r="DJ64" s="248"/>
      <c r="DK64" s="248"/>
      <c r="DL64" s="248"/>
      <c r="DM64" s="248"/>
      <c r="DN64" s="248"/>
      <c r="DO64" s="248"/>
    </row>
    <row r="65" spans="1:119" s="6" customFormat="1" ht="11.85" customHeight="1">
      <c r="A65" s="475"/>
      <c r="B65" s="1246"/>
      <c r="C65" s="1247"/>
      <c r="D65" s="475"/>
      <c r="E65" s="247">
        <v>1</v>
      </c>
      <c r="F65" s="524"/>
      <c r="G65" s="496"/>
      <c r="H65" s="897" t="str">
        <f>IF(E23&gt;=68,"EEG-Umlagepflicht für Eigenstromnutzung (ab 08/14)","")</f>
        <v>EEG-Umlagepflicht für Eigenstromnutzung (ab 08/14)</v>
      </c>
      <c r="I65" s="497"/>
      <c r="J65" s="497"/>
      <c r="K65" s="497"/>
      <c r="L65" s="497"/>
      <c r="M65" s="497"/>
      <c r="N65" s="497"/>
      <c r="O65" s="497"/>
      <c r="P65" s="1473" t="str">
        <f>IF(E23&gt;67,IF(E65=1,"anteilige EEG-Umlage","volle EEG-Umlage"),"")</f>
        <v>anteilige EEG-Umlage</v>
      </c>
      <c r="Q65" s="1473"/>
      <c r="R65" s="1473"/>
      <c r="S65" s="1474"/>
      <c r="T65" s="525"/>
      <c r="U65" s="257"/>
      <c r="V65" s="391"/>
      <c r="W65" s="1359"/>
      <c r="X65" s="1359"/>
      <c r="Y65" s="1359"/>
      <c r="Z65" s="1359"/>
      <c r="AA65" s="1359"/>
      <c r="AB65" s="1359"/>
      <c r="AC65" s="1359"/>
      <c r="AD65" s="1359"/>
      <c r="AE65" s="1359"/>
      <c r="AF65" s="1359"/>
      <c r="AG65" s="1359"/>
      <c r="AH65" s="1359"/>
      <c r="AI65" s="1359"/>
      <c r="AJ65" s="1359"/>
      <c r="AK65" s="264"/>
      <c r="AL65" s="248"/>
      <c r="AM65" s="248"/>
      <c r="AN65" s="327"/>
      <c r="AO65" s="429"/>
      <c r="AP65" s="1261"/>
      <c r="AQ65" s="1261"/>
      <c r="AR65" s="1261"/>
      <c r="AS65" s="1261"/>
      <c r="AT65" s="1261"/>
      <c r="AU65" s="1261"/>
      <c r="AV65" s="1261"/>
      <c r="AW65" s="235"/>
      <c r="AX65" s="250" t="s">
        <v>52</v>
      </c>
      <c r="AY65" s="1255"/>
      <c r="AZ65" s="1255"/>
      <c r="BA65" s="329"/>
      <c r="BB65" s="248"/>
      <c r="BC65" s="248"/>
      <c r="BD65" s="248"/>
      <c r="BE65" s="394"/>
      <c r="BF65" s="1296"/>
      <c r="BG65" s="1252" t="str">
        <f>IF(OR(Kalkulation_Eigenstrom!$AN$51=1,Kalkulation_Eigenstrom!$AN$51=3,$BM$65=0),"",ZRB!V10)</f>
        <v/>
      </c>
      <c r="BH65" s="1252"/>
      <c r="BI65" s="1253" t="str">
        <f>IF(OR(Kalkulation_Eigenstrom!$AN$51=1,Kalkulation_Eigenstrom!$AN$51=3,$BM$65=0),"",ZRB!W10)</f>
        <v/>
      </c>
      <c r="BJ65" s="1253"/>
      <c r="BK65" s="1294" t="str">
        <f>IF(OR(Kalkulation_Eigenstrom!$AN$51=1,Kalkulation_Eigenstrom!$AN$51=3,$BM$65=0),"",ZRB!AE10)</f>
        <v/>
      </c>
      <c r="BL65" s="1294"/>
      <c r="BM65" s="1254" t="str">
        <f>IF(Kalkulation_Eigenstrom!AN51=3,"",ZRB!Z10)</f>
        <v/>
      </c>
      <c r="BN65" s="1254"/>
      <c r="BO65" s="1307"/>
      <c r="BP65" s="456"/>
      <c r="BQ65" s="237"/>
      <c r="BR65" s="329"/>
      <c r="BS65" s="248"/>
      <c r="BT65" s="256"/>
      <c r="BU65" s="816">
        <v>372</v>
      </c>
      <c r="BV65" s="812" t="str">
        <f>IF(OR(BU19=1,BU21=1),"","Schätzwertes berechnet und den Kosten des Eigenstroms hinzugerechnet.")</f>
        <v/>
      </c>
      <c r="BW65" s="256"/>
      <c r="BX65" s="256"/>
      <c r="BY65" s="256"/>
      <c r="BZ65" s="256"/>
      <c r="CA65" s="256"/>
      <c r="CB65" s="256"/>
      <c r="CC65" s="256"/>
      <c r="CD65" s="256"/>
      <c r="CE65" s="256"/>
      <c r="CF65" s="256"/>
      <c r="CG65" s="256"/>
      <c r="CH65" s="256"/>
      <c r="CI65" s="804"/>
      <c r="CJ65" s="256"/>
      <c r="CK65" s="248"/>
      <c r="CL65" s="248"/>
      <c r="CM65" s="423"/>
      <c r="CN65" s="1318" t="str">
        <f>"Strom-Bezugspreis in "&amp;ROUND(ZRB!G90,0)&amp;" Jahren"</f>
        <v>Strom-Bezugspreis in 20 Jahren</v>
      </c>
      <c r="CO65" s="1318"/>
      <c r="CP65" s="1318"/>
      <c r="CQ65" s="1318"/>
      <c r="CR65" s="1318"/>
      <c r="CS65" s="1318"/>
      <c r="CT65" s="1318"/>
      <c r="CU65" s="1318"/>
      <c r="CV65" s="416"/>
      <c r="CW65" s="1315">
        <f>ZRB!G101</f>
        <v>0.25370287959314164</v>
      </c>
      <c r="CX65" s="1315"/>
      <c r="CY65" s="371"/>
      <c r="CZ65" s="371"/>
      <c r="DA65" s="371"/>
      <c r="DB65" s="424"/>
      <c r="DC65" s="248"/>
      <c r="DD65" s="248"/>
      <c r="DE65" s="248"/>
      <c r="DF65" s="248"/>
      <c r="DG65" s="248"/>
      <c r="DH65" s="248"/>
      <c r="DI65" s="248"/>
      <c r="DJ65" s="248"/>
      <c r="DK65" s="248"/>
      <c r="DL65" s="248"/>
      <c r="DM65" s="248"/>
      <c r="DN65" s="248"/>
      <c r="DO65" s="248"/>
    </row>
    <row r="66" spans="1:119" s="6" customFormat="1" ht="2.4500000000000002" customHeight="1" thickBot="1">
      <c r="A66" s="475"/>
      <c r="B66" s="1246"/>
      <c r="C66" s="1247"/>
      <c r="D66" s="475"/>
      <c r="E66" s="247"/>
      <c r="F66" s="524"/>
      <c r="G66" s="834"/>
      <c r="H66" s="835"/>
      <c r="I66" s="835"/>
      <c r="J66" s="835"/>
      <c r="K66" s="835"/>
      <c r="L66" s="835"/>
      <c r="M66" s="835"/>
      <c r="N66" s="835"/>
      <c r="O66" s="835"/>
      <c r="P66" s="835"/>
      <c r="Q66" s="835"/>
      <c r="R66" s="835"/>
      <c r="S66" s="836"/>
      <c r="T66" s="525"/>
      <c r="U66" s="257"/>
      <c r="V66" s="391"/>
      <c r="W66" s="1359"/>
      <c r="X66" s="1359"/>
      <c r="Y66" s="1359"/>
      <c r="Z66" s="1359"/>
      <c r="AA66" s="1359"/>
      <c r="AB66" s="1359"/>
      <c r="AC66" s="1359"/>
      <c r="AD66" s="1359"/>
      <c r="AE66" s="1359"/>
      <c r="AF66" s="1359"/>
      <c r="AG66" s="1359"/>
      <c r="AH66" s="1359"/>
      <c r="AI66" s="1359"/>
      <c r="AJ66" s="1359"/>
      <c r="AK66" s="264"/>
      <c r="AL66" s="248"/>
      <c r="AM66" s="248"/>
      <c r="AN66" s="327"/>
      <c r="AO66" s="429"/>
      <c r="AP66" s="242"/>
      <c r="AQ66" s="415"/>
      <c r="AR66" s="407"/>
      <c r="AS66" s="407"/>
      <c r="AT66" s="407"/>
      <c r="AU66" s="407"/>
      <c r="AV66" s="407"/>
      <c r="AW66" s="235"/>
      <c r="AX66" s="238"/>
      <c r="AY66" s="254"/>
      <c r="AZ66" s="254"/>
      <c r="BA66" s="329"/>
      <c r="BB66" s="248"/>
      <c r="BC66" s="248"/>
      <c r="BD66" s="248"/>
      <c r="BE66" s="394"/>
      <c r="BF66" s="1296"/>
      <c r="BG66" s="455"/>
      <c r="BH66" s="237"/>
      <c r="BI66" s="450"/>
      <c r="BJ66" s="237"/>
      <c r="BK66" s="453"/>
      <c r="BL66" s="237"/>
      <c r="BM66" s="237"/>
      <c r="BN66" s="238"/>
      <c r="BO66" s="1307"/>
      <c r="BP66" s="456"/>
      <c r="BQ66" s="237"/>
      <c r="BR66" s="329"/>
      <c r="BS66" s="248"/>
      <c r="BT66" s="256"/>
      <c r="BU66" s="801"/>
      <c r="BV66" s="803"/>
      <c r="BW66" s="256"/>
      <c r="BX66" s="256"/>
      <c r="BY66" s="256"/>
      <c r="BZ66" s="256"/>
      <c r="CA66" s="256"/>
      <c r="CB66" s="256"/>
      <c r="CC66" s="256"/>
      <c r="CD66" s="256"/>
      <c r="CE66" s="256"/>
      <c r="CF66" s="256"/>
      <c r="CG66" s="256"/>
      <c r="CH66" s="256"/>
      <c r="CI66" s="804"/>
      <c r="CJ66" s="256"/>
      <c r="CK66" s="248"/>
      <c r="CL66" s="248"/>
      <c r="CM66" s="423"/>
      <c r="CN66" s="1319"/>
      <c r="CO66" s="1319"/>
      <c r="CP66" s="1319"/>
      <c r="CQ66" s="1319"/>
      <c r="CR66" s="1319"/>
      <c r="CS66" s="1319"/>
      <c r="CT66" s="1319"/>
      <c r="CU66" s="1319"/>
      <c r="CV66" s="437"/>
      <c r="CW66" s="437"/>
      <c r="CX66" s="437"/>
      <c r="CY66" s="371"/>
      <c r="CZ66" s="371"/>
      <c r="DA66" s="371"/>
      <c r="DB66" s="424"/>
      <c r="DC66" s="248"/>
      <c r="DD66" s="248"/>
      <c r="DE66" s="248"/>
      <c r="DF66" s="248"/>
      <c r="DG66" s="248"/>
      <c r="DH66" s="248"/>
      <c r="DI66" s="248"/>
      <c r="DJ66" s="248"/>
      <c r="DK66" s="248"/>
      <c r="DL66" s="248"/>
      <c r="DM66" s="248"/>
      <c r="DN66" s="248"/>
      <c r="DO66" s="248"/>
    </row>
    <row r="67" spans="1:119" s="6" customFormat="1" ht="11.85" customHeight="1" thickTop="1">
      <c r="A67" s="475"/>
      <c r="B67" s="1246"/>
      <c r="C67" s="1247"/>
      <c r="D67" s="475"/>
      <c r="E67" s="247"/>
      <c r="F67" s="524"/>
      <c r="G67" s="1241" t="str">
        <f>"Kosten der Eigenstromnutzung ("&amp;ROUND(ZRB!I31*100,2)&amp;"%)"</f>
        <v>Kosten der Eigenstromnutzung (0%)</v>
      </c>
      <c r="H67" s="1242"/>
      <c r="I67" s="1242"/>
      <c r="J67" s="1242"/>
      <c r="K67" s="1242"/>
      <c r="L67" s="1242"/>
      <c r="M67" s="1242"/>
      <c r="N67" s="1242"/>
      <c r="O67" s="1242"/>
      <c r="P67" s="1239" t="str">
        <f>IF($AN$13=1,"",IF($AN$11=1,"",ZRB!G87))</f>
        <v/>
      </c>
      <c r="Q67" s="1239"/>
      <c r="R67" s="1239"/>
      <c r="S67" s="434"/>
      <c r="T67" s="525"/>
      <c r="U67" s="257"/>
      <c r="V67" s="391"/>
      <c r="W67" s="1359"/>
      <c r="X67" s="1359"/>
      <c r="Y67" s="1359"/>
      <c r="Z67" s="1359"/>
      <c r="AA67" s="1359"/>
      <c r="AB67" s="1359"/>
      <c r="AC67" s="1359"/>
      <c r="AD67" s="1359"/>
      <c r="AE67" s="1359"/>
      <c r="AF67" s="1359"/>
      <c r="AG67" s="1359"/>
      <c r="AH67" s="1359"/>
      <c r="AI67" s="1359"/>
      <c r="AJ67" s="1359"/>
      <c r="AK67" s="264"/>
      <c r="AL67" s="248"/>
      <c r="AM67" s="248"/>
      <c r="AN67" s="327"/>
      <c r="AO67" s="429"/>
      <c r="AP67" s="1261"/>
      <c r="AQ67" s="1261"/>
      <c r="AR67" s="1261"/>
      <c r="AS67" s="1261"/>
      <c r="AT67" s="1261"/>
      <c r="AU67" s="1261"/>
      <c r="AV67" s="1261"/>
      <c r="AW67" s="235"/>
      <c r="AX67" s="250" t="s">
        <v>52</v>
      </c>
      <c r="AY67" s="1255"/>
      <c r="AZ67" s="1255"/>
      <c r="BA67" s="329"/>
      <c r="BB67" s="248"/>
      <c r="BC67" s="248"/>
      <c r="BD67" s="248"/>
      <c r="BE67" s="394"/>
      <c r="BF67" s="1297"/>
      <c r="BG67" s="1314" t="str">
        <f>IF(OR(Kalkulation_Eigenstrom!$AN$51=1,Kalkulation_Eigenstrom!$AN$51=3,$BM$67=0),"",ZRB!V11)</f>
        <v/>
      </c>
      <c r="BH67" s="1252"/>
      <c r="BI67" s="1253" t="str">
        <f>IF(OR(Kalkulation_Eigenstrom!$AN$51=1,Kalkulation_Eigenstrom!$AN$51=3,$BM$67=0),"",ZRB!W11)</f>
        <v/>
      </c>
      <c r="BJ67" s="1253"/>
      <c r="BK67" s="1294" t="str">
        <f>IF(OR(Kalkulation_Eigenstrom!$AN$51=1,Kalkulation_Eigenstrom!$AN$51=3,$BM$67=0),"",ZRB!AE11)</f>
        <v/>
      </c>
      <c r="BL67" s="1294"/>
      <c r="BM67" s="1254" t="str">
        <f>IF(Kalkulation_Eigenstrom!AN51=3,"",ZRB!Z11)</f>
        <v/>
      </c>
      <c r="BN67" s="1254"/>
      <c r="BO67" s="1307"/>
      <c r="BP67" s="456"/>
      <c r="BQ67" s="237"/>
      <c r="BR67" s="329"/>
      <c r="BS67" s="248"/>
      <c r="BT67" s="256"/>
      <c r="BU67" s="801"/>
      <c r="BV67" s="833"/>
      <c r="BW67" s="825"/>
      <c r="BX67" s="825"/>
      <c r="BY67" s="825"/>
      <c r="BZ67" s="825"/>
      <c r="CA67" s="825"/>
      <c r="CB67" s="825"/>
      <c r="CC67" s="825"/>
      <c r="CD67" s="825"/>
      <c r="CE67" s="825"/>
      <c r="CF67" s="825"/>
      <c r="CG67" s="825"/>
      <c r="CH67" s="825"/>
      <c r="CI67" s="826"/>
      <c r="CJ67" s="256"/>
      <c r="CK67" s="248"/>
      <c r="CL67" s="248"/>
      <c r="CM67" s="423"/>
      <c r="CN67" s="1316" t="s">
        <v>315</v>
      </c>
      <c r="CO67" s="1316"/>
      <c r="CP67" s="1316"/>
      <c r="CQ67" s="1316"/>
      <c r="CR67" s="1316"/>
      <c r="CS67" s="1316"/>
      <c r="CT67" s="1316"/>
      <c r="CU67" s="1316"/>
      <c r="CV67" s="1311">
        <f>ROUND(ZRB!G102,4)</f>
        <v>0.2319</v>
      </c>
      <c r="CW67" s="1311"/>
      <c r="CX67" s="1311"/>
      <c r="CY67" s="371"/>
      <c r="CZ67" s="371"/>
      <c r="DA67" s="371"/>
      <c r="DB67" s="424"/>
      <c r="DC67" s="248"/>
      <c r="DD67" s="248"/>
      <c r="DE67" s="248"/>
      <c r="DF67" s="248"/>
      <c r="DG67" s="248"/>
      <c r="DH67" s="248"/>
      <c r="DI67" s="248"/>
      <c r="DJ67" s="248"/>
      <c r="DK67" s="248"/>
      <c r="DL67" s="248"/>
      <c r="DM67" s="248"/>
      <c r="DN67" s="248"/>
      <c r="DO67" s="248"/>
    </row>
    <row r="68" spans="1:119" s="6" customFormat="1" ht="2.4500000000000002" customHeight="1">
      <c r="A68" s="475"/>
      <c r="B68" s="1246"/>
      <c r="C68" s="1247"/>
      <c r="D68" s="475"/>
      <c r="E68" s="247"/>
      <c r="F68" s="524"/>
      <c r="G68" s="1241"/>
      <c r="H68" s="1242"/>
      <c r="I68" s="1242"/>
      <c r="J68" s="1242"/>
      <c r="K68" s="1242"/>
      <c r="L68" s="1242"/>
      <c r="M68" s="1242"/>
      <c r="N68" s="1242"/>
      <c r="O68" s="1242"/>
      <c r="P68" s="1239"/>
      <c r="Q68" s="1239"/>
      <c r="R68" s="1239"/>
      <c r="S68" s="434"/>
      <c r="T68" s="525"/>
      <c r="U68" s="257"/>
      <c r="V68" s="394"/>
      <c r="W68" s="1359"/>
      <c r="X68" s="1359"/>
      <c r="Y68" s="1359"/>
      <c r="Z68" s="1359"/>
      <c r="AA68" s="1359"/>
      <c r="AB68" s="1359"/>
      <c r="AC68" s="1359"/>
      <c r="AD68" s="1359"/>
      <c r="AE68" s="1359"/>
      <c r="AF68" s="1359"/>
      <c r="AG68" s="1359"/>
      <c r="AH68" s="1359"/>
      <c r="AI68" s="1359"/>
      <c r="AJ68" s="1359"/>
      <c r="AK68" s="329"/>
      <c r="AL68" s="248"/>
      <c r="AM68" s="248"/>
      <c r="AN68" s="327"/>
      <c r="AO68" s="429"/>
      <c r="AP68" s="1268" t="s">
        <v>310</v>
      </c>
      <c r="AQ68" s="1268"/>
      <c r="AR68" s="1268"/>
      <c r="AS68" s="1268"/>
      <c r="AT68" s="1268"/>
      <c r="AU68" s="1268"/>
      <c r="AV68" s="1268"/>
      <c r="AW68" s="1268"/>
      <c r="AX68" s="1268"/>
      <c r="AY68" s="1257">
        <f>ZRB!G75</f>
        <v>0</v>
      </c>
      <c r="AZ68" s="1257"/>
      <c r="BA68" s="436"/>
      <c r="BB68" s="248"/>
      <c r="BC68" s="248"/>
      <c r="BD68" s="248"/>
      <c r="BE68" s="394"/>
      <c r="BF68" s="237"/>
      <c r="BG68" s="455"/>
      <c r="BH68" s="237"/>
      <c r="BI68" s="237"/>
      <c r="BJ68" s="237"/>
      <c r="BK68" s="453"/>
      <c r="BL68" s="237"/>
      <c r="BM68" s="237"/>
      <c r="BN68" s="237"/>
      <c r="BO68" s="1307"/>
      <c r="BP68" s="237"/>
      <c r="BQ68" s="237"/>
      <c r="BR68" s="329"/>
      <c r="BS68" s="248"/>
      <c r="BT68" s="256"/>
      <c r="BU68" s="801"/>
      <c r="BV68" s="827"/>
      <c r="BW68" s="825"/>
      <c r="BX68" s="825"/>
      <c r="BY68" s="825"/>
      <c r="BZ68" s="825"/>
      <c r="CA68" s="825"/>
      <c r="CB68" s="825"/>
      <c r="CC68" s="825"/>
      <c r="CD68" s="825"/>
      <c r="CE68" s="825"/>
      <c r="CF68" s="825"/>
      <c r="CG68" s="825"/>
      <c r="CH68" s="825"/>
      <c r="CI68" s="826"/>
      <c r="CJ68" s="256"/>
      <c r="CK68" s="248"/>
      <c r="CL68" s="248"/>
      <c r="CM68" s="423"/>
      <c r="CN68" s="1317"/>
      <c r="CO68" s="1317"/>
      <c r="CP68" s="1317"/>
      <c r="CQ68" s="1317"/>
      <c r="CR68" s="1317"/>
      <c r="CS68" s="1317"/>
      <c r="CT68" s="1317"/>
      <c r="CU68" s="1317"/>
      <c r="CV68" s="1312"/>
      <c r="CW68" s="1312"/>
      <c r="CX68" s="1312"/>
      <c r="CY68" s="371"/>
      <c r="CZ68" s="371"/>
      <c r="DA68" s="371"/>
      <c r="DB68" s="424"/>
      <c r="DC68" s="248"/>
      <c r="DD68" s="248"/>
      <c r="DE68" s="248"/>
      <c r="DF68" s="248"/>
      <c r="DG68" s="248"/>
      <c r="DH68" s="248"/>
      <c r="DI68" s="248"/>
      <c r="DJ68" s="248"/>
      <c r="DK68" s="248"/>
      <c r="DL68" s="248"/>
      <c r="DM68" s="248"/>
      <c r="DN68" s="248"/>
      <c r="DO68" s="248"/>
    </row>
    <row r="69" spans="1:119" s="6" customFormat="1" ht="11.85" customHeight="1">
      <c r="A69" s="475"/>
      <c r="B69" s="1246"/>
      <c r="C69" s="1247"/>
      <c r="D69" s="475"/>
      <c r="E69" s="247"/>
      <c r="F69" s="524"/>
      <c r="G69" s="1241"/>
      <c r="H69" s="1242"/>
      <c r="I69" s="1242"/>
      <c r="J69" s="1242"/>
      <c r="K69" s="1242"/>
      <c r="L69" s="1242"/>
      <c r="M69" s="1242"/>
      <c r="N69" s="1242"/>
      <c r="O69" s="1242"/>
      <c r="P69" s="1239"/>
      <c r="Q69" s="1239"/>
      <c r="R69" s="1239"/>
      <c r="S69" s="553"/>
      <c r="T69" s="525"/>
      <c r="U69" s="257"/>
      <c r="V69" s="394"/>
      <c r="W69" s="1359"/>
      <c r="X69" s="1359"/>
      <c r="Y69" s="1359"/>
      <c r="Z69" s="1359"/>
      <c r="AA69" s="1359"/>
      <c r="AB69" s="1359"/>
      <c r="AC69" s="1359"/>
      <c r="AD69" s="1359"/>
      <c r="AE69" s="1359"/>
      <c r="AF69" s="1359"/>
      <c r="AG69" s="1359"/>
      <c r="AH69" s="1359"/>
      <c r="AI69" s="1359"/>
      <c r="AJ69" s="1359"/>
      <c r="AK69" s="329"/>
      <c r="AL69" s="248"/>
      <c r="AM69" s="248"/>
      <c r="AN69" s="327"/>
      <c r="AO69" s="428"/>
      <c r="AP69" s="1268"/>
      <c r="AQ69" s="1268"/>
      <c r="AR69" s="1268"/>
      <c r="AS69" s="1268"/>
      <c r="AT69" s="1268"/>
      <c r="AU69" s="1268"/>
      <c r="AV69" s="1268"/>
      <c r="AW69" s="1268"/>
      <c r="AX69" s="1268"/>
      <c r="AY69" s="1257"/>
      <c r="AZ69" s="1257"/>
      <c r="BA69" s="436"/>
      <c r="BB69" s="248"/>
      <c r="BC69" s="248"/>
      <c r="BD69" s="248"/>
      <c r="BE69" s="394"/>
      <c r="BF69" s="1295" t="str">
        <f>IF(OR(Kalkulation_Eigenstrom!$AN$51=3,Kalkulation_Eigenstrom!$BM$69=0),"",""&amp;ROUND(ZRB!Z7*100,0)&amp;"-"&amp;ROUND(ZRB!I31*100,0)&amp;"%")</f>
        <v/>
      </c>
      <c r="BG69" s="1252" t="str">
        <f>IF(OR(Kalkulation_Eigenstrom!$AN$51=3,$BM$69=0),"",ZRB!V9)</f>
        <v/>
      </c>
      <c r="BH69" s="1252"/>
      <c r="BI69" s="1253" t="str">
        <f>IF(OR(Kalkulation_Eigenstrom!$AN$51=3,$BM$69=0),"",ZRB!W9)</f>
        <v/>
      </c>
      <c r="BJ69" s="1253"/>
      <c r="BK69" s="1294" t="str">
        <f>IF(OR(Kalkulation_Eigenstrom!$AN$51=3,$BM$69=0),"",ZRB!AF9)</f>
        <v/>
      </c>
      <c r="BL69" s="1294"/>
      <c r="BM69" s="1254" t="str">
        <f>IF(Kalkulation_Eigenstrom!AN51=3,"",ZRB!AA9)</f>
        <v/>
      </c>
      <c r="BN69" s="1254"/>
      <c r="BO69" s="1307"/>
      <c r="BP69" s="1293">
        <f>ZRB!G85</f>
        <v>0</v>
      </c>
      <c r="BQ69" s="1293"/>
      <c r="BR69" s="329"/>
      <c r="BS69" s="248"/>
      <c r="BT69" s="256"/>
      <c r="BU69" s="801"/>
      <c r="BV69" s="828" t="str">
        <f>IF(BU21=1,"Anlage ist von der EEG-Umlagepflicht befreit !",IF(BU19=2,"Schätzwert:   Ø EEG-Umlage in "&amp;ROUND(E35,0)&amp;" Jahren Laufzeit:","Keine EEG-Umlagepflicht für Bestandsanlagen !"))</f>
        <v>Anlage ist von der EEG-Umlagepflicht befreit !</v>
      </c>
      <c r="BW69" s="829"/>
      <c r="BX69" s="825"/>
      <c r="BY69" s="825"/>
      <c r="BZ69" s="825"/>
      <c r="CA69" s="825"/>
      <c r="CB69" s="825"/>
      <c r="CC69" s="825"/>
      <c r="CD69" s="688"/>
      <c r="CE69" s="1243">
        <f>IF(OR(BU19=1,BU21=1),0,BU65/100)</f>
        <v>0</v>
      </c>
      <c r="CF69" s="1243"/>
      <c r="CG69" s="1243"/>
      <c r="CH69" s="1243"/>
      <c r="CI69" s="826"/>
      <c r="CJ69" s="256"/>
      <c r="CK69" s="248"/>
      <c r="CL69" s="248"/>
      <c r="CM69" s="423"/>
      <c r="CN69" s="1317"/>
      <c r="CO69" s="1317"/>
      <c r="CP69" s="1317"/>
      <c r="CQ69" s="1317"/>
      <c r="CR69" s="1317"/>
      <c r="CS69" s="1317"/>
      <c r="CT69" s="1317"/>
      <c r="CU69" s="1317"/>
      <c r="CV69" s="1312"/>
      <c r="CW69" s="1312"/>
      <c r="CX69" s="1312"/>
      <c r="CY69" s="371"/>
      <c r="CZ69" s="371"/>
      <c r="DA69" s="371"/>
      <c r="DB69" s="424"/>
      <c r="DC69" s="248"/>
      <c r="DD69" s="248"/>
      <c r="DE69" s="248"/>
      <c r="DF69" s="248"/>
      <c r="DG69" s="248"/>
      <c r="DH69" s="248"/>
      <c r="DI69" s="248"/>
      <c r="DJ69" s="248"/>
      <c r="DK69" s="248"/>
      <c r="DL69" s="248"/>
      <c r="DM69" s="248"/>
      <c r="DN69" s="248"/>
      <c r="DO69" s="248"/>
    </row>
    <row r="70" spans="1:119" s="6" customFormat="1" ht="2.4500000000000002" customHeight="1">
      <c r="A70" s="475"/>
      <c r="B70" s="1246"/>
      <c r="C70" s="1247"/>
      <c r="D70" s="475"/>
      <c r="E70" s="247"/>
      <c r="F70" s="524"/>
      <c r="G70" s="1241"/>
      <c r="H70" s="1242"/>
      <c r="I70" s="1242"/>
      <c r="J70" s="1242"/>
      <c r="K70" s="1242"/>
      <c r="L70" s="1242"/>
      <c r="M70" s="1242"/>
      <c r="N70" s="1242"/>
      <c r="O70" s="1242"/>
      <c r="P70" s="554"/>
      <c r="Q70" s="554"/>
      <c r="R70" s="554"/>
      <c r="S70" s="553"/>
      <c r="T70" s="525"/>
      <c r="U70" s="257"/>
      <c r="V70" s="394"/>
      <c r="W70" s="1359"/>
      <c r="X70" s="1359"/>
      <c r="Y70" s="1359"/>
      <c r="Z70" s="1359"/>
      <c r="AA70" s="1359"/>
      <c r="AB70" s="1359"/>
      <c r="AC70" s="1359"/>
      <c r="AD70" s="1359"/>
      <c r="AE70" s="1359"/>
      <c r="AF70" s="1359"/>
      <c r="AG70" s="1359"/>
      <c r="AH70" s="1359"/>
      <c r="AI70" s="1359"/>
      <c r="AJ70" s="1359"/>
      <c r="AK70" s="329"/>
      <c r="AL70" s="248"/>
      <c r="AM70" s="248"/>
      <c r="AN70" s="327"/>
      <c r="AO70" s="429"/>
      <c r="AP70" s="1268"/>
      <c r="AQ70" s="1268"/>
      <c r="AR70" s="1268"/>
      <c r="AS70" s="1268"/>
      <c r="AT70" s="1268"/>
      <c r="AU70" s="1268"/>
      <c r="AV70" s="1268"/>
      <c r="AW70" s="1268"/>
      <c r="AX70" s="1268"/>
      <c r="AY70" s="1257"/>
      <c r="AZ70" s="1257"/>
      <c r="BA70" s="436"/>
      <c r="BB70" s="248"/>
      <c r="BC70" s="248"/>
      <c r="BD70" s="248"/>
      <c r="BE70" s="394"/>
      <c r="BF70" s="1296"/>
      <c r="BG70" s="455"/>
      <c r="BH70" s="237"/>
      <c r="BI70" s="450"/>
      <c r="BJ70" s="237"/>
      <c r="BK70" s="453"/>
      <c r="BL70" s="237"/>
      <c r="BM70" s="237"/>
      <c r="BN70" s="238"/>
      <c r="BO70" s="1307"/>
      <c r="BP70" s="456"/>
      <c r="BQ70" s="237"/>
      <c r="BR70" s="329"/>
      <c r="BS70" s="248"/>
      <c r="BT70" s="256"/>
      <c r="BU70" s="801"/>
      <c r="BV70" s="827"/>
      <c r="BW70" s="825"/>
      <c r="BX70" s="825"/>
      <c r="BY70" s="825"/>
      <c r="BZ70" s="825"/>
      <c r="CA70" s="825"/>
      <c r="CB70" s="825"/>
      <c r="CC70" s="825"/>
      <c r="CD70" s="825"/>
      <c r="CE70" s="825"/>
      <c r="CF70" s="825"/>
      <c r="CG70" s="825"/>
      <c r="CH70" s="825"/>
      <c r="CI70" s="826"/>
      <c r="CJ70" s="256"/>
      <c r="CK70" s="248"/>
      <c r="CL70" s="248"/>
      <c r="CM70" s="425"/>
      <c r="CN70" s="372"/>
      <c r="CO70" s="372"/>
      <c r="CP70" s="372"/>
      <c r="CQ70" s="372"/>
      <c r="CR70" s="372"/>
      <c r="CS70" s="372"/>
      <c r="CT70" s="372"/>
      <c r="CU70" s="372"/>
      <c r="CV70" s="372"/>
      <c r="CW70" s="372"/>
      <c r="CX70" s="372"/>
      <c r="CY70" s="372"/>
      <c r="CZ70" s="372"/>
      <c r="DA70" s="372"/>
      <c r="DB70" s="426"/>
      <c r="DC70" s="248"/>
      <c r="DD70" s="248"/>
      <c r="DE70" s="248"/>
      <c r="DF70" s="248"/>
      <c r="DG70" s="248"/>
      <c r="DH70" s="248"/>
      <c r="DI70" s="248"/>
      <c r="DJ70" s="248"/>
      <c r="DK70" s="248"/>
      <c r="DL70" s="248"/>
      <c r="DM70" s="248"/>
      <c r="DN70" s="248"/>
      <c r="DO70" s="248"/>
    </row>
    <row r="71" spans="1:119" s="6" customFormat="1" ht="11.85" customHeight="1" thickBot="1">
      <c r="A71" s="475"/>
      <c r="B71" s="1248"/>
      <c r="C71" s="1249"/>
      <c r="D71" s="475"/>
      <c r="E71" s="247"/>
      <c r="F71" s="524"/>
      <c r="G71" s="423"/>
      <c r="H71" s="1405" t="str">
        <f>"Jahreskosten der Anlage ges. (Laufzeit "&amp;ROUND(AN35,0)&amp;" J.)"</f>
        <v>Jahreskosten der Anlage ges. (Laufzeit 20 J.)</v>
      </c>
      <c r="I71" s="1405"/>
      <c r="J71" s="1405"/>
      <c r="K71" s="1405"/>
      <c r="L71" s="1405"/>
      <c r="M71" s="1405"/>
      <c r="N71" s="1405"/>
      <c r="O71" s="1405"/>
      <c r="P71" s="1357" t="str">
        <f>IF(AN11=1,"",ZRB!G80)</f>
        <v/>
      </c>
      <c r="Q71" s="1357"/>
      <c r="R71" s="1357"/>
      <c r="S71" s="424"/>
      <c r="T71" s="525"/>
      <c r="U71" s="257"/>
      <c r="V71" s="394"/>
      <c r="W71" s="1359"/>
      <c r="X71" s="1359"/>
      <c r="Y71" s="1359"/>
      <c r="Z71" s="1359"/>
      <c r="AA71" s="1359"/>
      <c r="AB71" s="1359"/>
      <c r="AC71" s="1359"/>
      <c r="AD71" s="1359"/>
      <c r="AE71" s="1359"/>
      <c r="AF71" s="1359"/>
      <c r="AG71" s="1359"/>
      <c r="AH71" s="1359"/>
      <c r="AI71" s="1359"/>
      <c r="AJ71" s="1359"/>
      <c r="AK71" s="329"/>
      <c r="AL71" s="248"/>
      <c r="AM71" s="248"/>
      <c r="AN71" s="327"/>
      <c r="AO71" s="429"/>
      <c r="AP71" s="233" t="s">
        <v>330</v>
      </c>
      <c r="AQ71" s="239"/>
      <c r="AR71" s="240"/>
      <c r="AS71" s="235"/>
      <c r="AT71" s="235"/>
      <c r="AU71" s="405"/>
      <c r="AV71" s="235"/>
      <c r="AW71" s="470" t="str">
        <f>"(Info: "&amp;ZRB!I72*100&amp;"% = "&amp;ZRB!I73&amp;" Euro)"</f>
        <v>(Info: 0,5% = 0 Euro)</v>
      </c>
      <c r="AX71" s="250" t="s">
        <v>329</v>
      </c>
      <c r="AY71" s="1255"/>
      <c r="AZ71" s="1255"/>
      <c r="BA71" s="329"/>
      <c r="BB71" s="248"/>
      <c r="BC71" s="248"/>
      <c r="BD71" s="248"/>
      <c r="BE71" s="394"/>
      <c r="BF71" s="1296"/>
      <c r="BG71" s="1252" t="str">
        <f>IF(OR(Kalkulation_Eigenstrom!$AN$51=1,Kalkulation_Eigenstrom!$AN$51=3,$BM$71=0),"",ZRB!V10)</f>
        <v/>
      </c>
      <c r="BH71" s="1252"/>
      <c r="BI71" s="1253" t="str">
        <f>IF(OR(Kalkulation_Eigenstrom!$AN$51=1,Kalkulation_Eigenstrom!$AN$51=3,$BM$71=0),"",ZRB!W10)</f>
        <v/>
      </c>
      <c r="BJ71" s="1253"/>
      <c r="BK71" s="1294" t="str">
        <f>IF(OR(Kalkulation_Eigenstrom!$AN$51=1,Kalkulation_Eigenstrom!$AN$51=3,$BM$71=0),"",ZRB!AF10)</f>
        <v/>
      </c>
      <c r="BL71" s="1294"/>
      <c r="BM71" s="1254" t="str">
        <f>IF(Kalkulation_Eigenstrom!AN51=3,"",ZRB!AA10)</f>
        <v/>
      </c>
      <c r="BN71" s="1254"/>
      <c r="BO71" s="1307"/>
      <c r="BP71" s="456"/>
      <c r="BQ71" s="237"/>
      <c r="BR71" s="329"/>
      <c r="BS71" s="248"/>
      <c r="BT71" s="256"/>
      <c r="BU71" s="801"/>
      <c r="BV71" s="833" t="str">
        <f>IF(BU21=1,"",IF(BU19=2,"(bitte selbst festlegen !)",""))</f>
        <v/>
      </c>
      <c r="BW71" s="831"/>
      <c r="BX71" s="831"/>
      <c r="BY71" s="831"/>
      <c r="BZ71" s="831"/>
      <c r="CA71" s="831"/>
      <c r="CB71" s="831"/>
      <c r="CC71" s="831"/>
      <c r="CD71" s="831"/>
      <c r="CE71" s="831"/>
      <c r="CF71" s="831"/>
      <c r="CG71" s="831"/>
      <c r="CH71" s="831"/>
      <c r="CI71" s="832"/>
      <c r="CJ71" s="256"/>
      <c r="CK71" s="248"/>
      <c r="CL71" s="248"/>
      <c r="CM71" s="567"/>
      <c r="CN71" s="568"/>
      <c r="CO71" s="568"/>
      <c r="CP71" s="568"/>
      <c r="CQ71" s="568"/>
      <c r="CR71" s="568"/>
      <c r="CS71" s="568"/>
      <c r="CT71" s="568"/>
      <c r="CU71" s="568"/>
      <c r="CV71" s="568"/>
      <c r="CW71" s="568"/>
      <c r="CX71" s="568"/>
      <c r="CY71" s="568"/>
      <c r="CZ71" s="568"/>
      <c r="DA71" s="568"/>
      <c r="DB71" s="569"/>
      <c r="DC71" s="248"/>
      <c r="DD71" s="248"/>
      <c r="DE71" s="248"/>
      <c r="DF71" s="248"/>
      <c r="DG71" s="248"/>
      <c r="DH71" s="248"/>
      <c r="DI71" s="248"/>
      <c r="DJ71" s="248"/>
      <c r="DK71" s="248"/>
      <c r="DL71" s="248"/>
      <c r="DM71" s="248"/>
      <c r="DN71" s="248"/>
      <c r="DO71" s="248"/>
    </row>
    <row r="72" spans="1:119" s="6" customFormat="1" ht="2.4500000000000002" customHeight="1" thickTop="1">
      <c r="A72" s="475"/>
      <c r="B72" s="477"/>
      <c r="C72" s="476"/>
      <c r="D72" s="475"/>
      <c r="E72" s="247"/>
      <c r="F72" s="524"/>
      <c r="G72" s="423"/>
      <c r="H72" s="1405"/>
      <c r="I72" s="1405"/>
      <c r="J72" s="1405"/>
      <c r="K72" s="1405"/>
      <c r="L72" s="1405"/>
      <c r="M72" s="1405"/>
      <c r="N72" s="1405"/>
      <c r="O72" s="1405"/>
      <c r="P72" s="1357"/>
      <c r="Q72" s="1357"/>
      <c r="R72" s="1357"/>
      <c r="S72" s="424"/>
      <c r="T72" s="525"/>
      <c r="U72" s="257"/>
      <c r="V72" s="395"/>
      <c r="W72" s="1360"/>
      <c r="X72" s="1360"/>
      <c r="Y72" s="1360"/>
      <c r="Z72" s="1360"/>
      <c r="AA72" s="1360"/>
      <c r="AB72" s="1360"/>
      <c r="AC72" s="1360"/>
      <c r="AD72" s="1360"/>
      <c r="AE72" s="1360"/>
      <c r="AF72" s="1360"/>
      <c r="AG72" s="1360"/>
      <c r="AH72" s="1360"/>
      <c r="AI72" s="1360"/>
      <c r="AJ72" s="1360"/>
      <c r="AK72" s="396"/>
      <c r="AL72" s="248"/>
      <c r="AM72" s="248"/>
      <c r="AN72" s="327"/>
      <c r="AO72" s="429"/>
      <c r="AP72" s="233"/>
      <c r="AQ72" s="236"/>
      <c r="AR72" s="240"/>
      <c r="AS72" s="241"/>
      <c r="AT72" s="241"/>
      <c r="AU72" s="241"/>
      <c r="AV72" s="241"/>
      <c r="AW72" s="241"/>
      <c r="AX72" s="238"/>
      <c r="AY72" s="254"/>
      <c r="AZ72" s="254"/>
      <c r="BA72" s="329"/>
      <c r="BB72" s="248"/>
      <c r="BC72" s="248"/>
      <c r="BD72" s="248"/>
      <c r="BE72" s="394"/>
      <c r="BF72" s="1296"/>
      <c r="BG72" s="455"/>
      <c r="BH72" s="237"/>
      <c r="BI72" s="450"/>
      <c r="BJ72" s="237"/>
      <c r="BK72" s="453"/>
      <c r="BL72" s="237"/>
      <c r="BM72" s="237"/>
      <c r="BN72" s="238"/>
      <c r="BO72" s="1307"/>
      <c r="BP72" s="456"/>
      <c r="BQ72" s="237"/>
      <c r="BR72" s="329"/>
      <c r="BS72" s="248"/>
      <c r="BT72" s="256"/>
      <c r="BU72" s="801"/>
      <c r="BV72" s="830"/>
      <c r="BW72" s="831"/>
      <c r="BX72" s="831"/>
      <c r="BY72" s="831"/>
      <c r="BZ72" s="831"/>
      <c r="CA72" s="831"/>
      <c r="CB72" s="831"/>
      <c r="CC72" s="831"/>
      <c r="CD72" s="831"/>
      <c r="CE72" s="831"/>
      <c r="CF72" s="831"/>
      <c r="CG72" s="831"/>
      <c r="CH72" s="831"/>
      <c r="CI72" s="832"/>
      <c r="CJ72" s="256"/>
      <c r="CK72" s="248"/>
      <c r="CL72" s="248"/>
      <c r="CM72" s="571"/>
      <c r="CN72" s="570"/>
      <c r="CO72" s="570"/>
      <c r="CP72" s="570"/>
      <c r="CQ72" s="570"/>
      <c r="CR72" s="570"/>
      <c r="CS72" s="570"/>
      <c r="CT72" s="570"/>
      <c r="CU72" s="570"/>
      <c r="CV72" s="570"/>
      <c r="CW72" s="570"/>
      <c r="CX72" s="570"/>
      <c r="CY72" s="570"/>
      <c r="CZ72" s="570"/>
      <c r="DA72" s="570"/>
      <c r="DB72" s="572"/>
      <c r="DC72" s="248"/>
      <c r="DD72" s="248"/>
      <c r="DE72" s="248"/>
      <c r="DF72" s="248"/>
      <c r="DG72" s="248"/>
      <c r="DH72" s="248"/>
      <c r="DI72" s="248"/>
      <c r="DJ72" s="248"/>
      <c r="DK72" s="248"/>
      <c r="DL72" s="248"/>
      <c r="DM72" s="248"/>
      <c r="DN72" s="248"/>
      <c r="DO72" s="248"/>
    </row>
    <row r="73" spans="1:119" s="6" customFormat="1" ht="11.85" customHeight="1">
      <c r="A73" s="475"/>
      <c r="B73" s="477"/>
      <c r="C73" s="475"/>
      <c r="D73" s="475"/>
      <c r="E73" s="247"/>
      <c r="F73" s="524"/>
      <c r="G73" s="423"/>
      <c r="H73" s="685" t="s">
        <v>278</v>
      </c>
      <c r="I73" s="685"/>
      <c r="J73" s="685"/>
      <c r="K73" s="1411" t="str">
        <f>"Einspeisevergütung (0-"&amp;AN33&amp;" J.)"</f>
        <v>Einspeisevergütung (0-20 J.)</v>
      </c>
      <c r="L73" s="1411"/>
      <c r="M73" s="1411"/>
      <c r="N73" s="1411"/>
      <c r="O73" s="1411"/>
      <c r="P73" s="1357" t="str">
        <f>IF($AN$13=1,"",IF($AN$11=1,"",ZRB!G81*-1))</f>
        <v/>
      </c>
      <c r="Q73" s="1357"/>
      <c r="R73" s="1357"/>
      <c r="S73" s="424"/>
      <c r="T73" s="525"/>
      <c r="U73" s="257"/>
      <c r="V73" s="257"/>
      <c r="W73" s="257"/>
      <c r="X73" s="257"/>
      <c r="Y73" s="257"/>
      <c r="Z73" s="257"/>
      <c r="AA73" s="257"/>
      <c r="AB73" s="257"/>
      <c r="AC73" s="257"/>
      <c r="AD73" s="257"/>
      <c r="AE73" s="257"/>
      <c r="AF73" s="257"/>
      <c r="AG73" s="257"/>
      <c r="AH73" s="257"/>
      <c r="AI73" s="257"/>
      <c r="AJ73" s="257"/>
      <c r="AK73" s="257"/>
      <c r="AL73" s="248"/>
      <c r="AM73" s="248"/>
      <c r="AN73" s="327"/>
      <c r="AO73" s="429"/>
      <c r="AP73" s="1261" t="s">
        <v>275</v>
      </c>
      <c r="AQ73" s="1261"/>
      <c r="AR73" s="1261"/>
      <c r="AS73" s="1261"/>
      <c r="AT73" s="1261"/>
      <c r="AU73" s="1261"/>
      <c r="AV73" s="1261"/>
      <c r="AW73" s="235"/>
      <c r="AX73" s="250" t="s">
        <v>52</v>
      </c>
      <c r="AY73" s="1255"/>
      <c r="AZ73" s="1255"/>
      <c r="BA73" s="329"/>
      <c r="BB73" s="248"/>
      <c r="BC73" s="248"/>
      <c r="BD73" s="248"/>
      <c r="BE73" s="394"/>
      <c r="BF73" s="1297"/>
      <c r="BG73" s="1314" t="str">
        <f>IF(OR(Kalkulation_Eigenstrom!$AN$51=1,Kalkulation_Eigenstrom!$AN$51=3,$BM$73=0),"",ZRB!V11)</f>
        <v/>
      </c>
      <c r="BH73" s="1252"/>
      <c r="BI73" s="1253" t="str">
        <f>IF(OR(Kalkulation_Eigenstrom!$AN$51=1,Kalkulation_Eigenstrom!$AN$51=3,$BM$73=0),"",ZRB!W11)</f>
        <v/>
      </c>
      <c r="BJ73" s="1253"/>
      <c r="BK73" s="1294" t="str">
        <f>IF(OR(Kalkulation_Eigenstrom!$AN$51=1,Kalkulation_Eigenstrom!$AN$51=3,$BM$73=0),"",ZRB!AF11)</f>
        <v/>
      </c>
      <c r="BL73" s="1294"/>
      <c r="BM73" s="1254" t="str">
        <f>IF(Kalkulation_Eigenstrom!AN51=3,"",ZRB!AA11)</f>
        <v/>
      </c>
      <c r="BN73" s="1254"/>
      <c r="BO73" s="1307"/>
      <c r="BP73" s="456"/>
      <c r="BQ73" s="237"/>
      <c r="BR73" s="329"/>
      <c r="BS73" s="248"/>
      <c r="BT73" s="256"/>
      <c r="BU73" s="801">
        <f>ZRB!G108</f>
        <v>0</v>
      </c>
      <c r="BV73" s="824"/>
      <c r="BW73" s="817"/>
      <c r="BX73" s="817"/>
      <c r="BY73" s="817"/>
      <c r="BZ73" s="817"/>
      <c r="CA73" s="817"/>
      <c r="CB73" s="817"/>
      <c r="CC73" s="817"/>
      <c r="CD73" s="817"/>
      <c r="CE73" s="817"/>
      <c r="CF73" s="817"/>
      <c r="CG73" s="817"/>
      <c r="CH73" s="817"/>
      <c r="CI73" s="818"/>
      <c r="CJ73" s="256"/>
      <c r="CK73" s="248"/>
      <c r="CL73" s="248"/>
      <c r="CM73" s="571"/>
      <c r="CN73" s="1313" t="str">
        <f>IF($AN$13=1,"",IF($AN$21=1,"",IF($AN$11=1,"","Bei der geplanten "&amp;ZRB!G10&amp;" ("&amp;ROUND(ZRB!G6,2)&amp;" kWp) mit einem spez. Ertrag von "&amp;ZRB!G18&amp;" kWh/kWp,")))</f>
        <v/>
      </c>
      <c r="CO73" s="1313"/>
      <c r="CP73" s="1313"/>
      <c r="CQ73" s="1313"/>
      <c r="CR73" s="1313"/>
      <c r="CS73" s="1313"/>
      <c r="CT73" s="1313"/>
      <c r="CU73" s="1313"/>
      <c r="CV73" s="1313"/>
      <c r="CW73" s="1313"/>
      <c r="CX73" s="1313"/>
      <c r="CY73" s="1313"/>
      <c r="CZ73" s="1313"/>
      <c r="DA73" s="1313"/>
      <c r="DB73" s="572"/>
      <c r="DC73" s="248"/>
      <c r="DD73" s="248"/>
      <c r="DE73" s="248"/>
      <c r="DF73" s="248"/>
      <c r="DG73" s="248"/>
      <c r="DH73" s="248"/>
      <c r="DI73" s="248"/>
      <c r="DJ73" s="248"/>
      <c r="DK73" s="248"/>
      <c r="DL73" s="248"/>
      <c r="DM73" s="248"/>
      <c r="DN73" s="248"/>
      <c r="DO73" s="248"/>
    </row>
    <row r="74" spans="1:119" s="6" customFormat="1" ht="2.4500000000000002" customHeight="1" thickBot="1">
      <c r="A74" s="475"/>
      <c r="B74" s="477"/>
      <c r="C74" s="476"/>
      <c r="D74" s="475"/>
      <c r="E74" s="247"/>
      <c r="F74" s="524"/>
      <c r="G74" s="423"/>
      <c r="H74" s="685"/>
      <c r="I74" s="685"/>
      <c r="J74" s="685"/>
      <c r="K74" s="1411"/>
      <c r="L74" s="1411"/>
      <c r="M74" s="1411"/>
      <c r="N74" s="1411"/>
      <c r="O74" s="1411"/>
      <c r="P74" s="1357"/>
      <c r="Q74" s="1357"/>
      <c r="R74" s="1357"/>
      <c r="S74" s="424"/>
      <c r="T74" s="525"/>
      <c r="U74" s="257"/>
      <c r="V74" s="257"/>
      <c r="W74" s="257"/>
      <c r="X74" s="257"/>
      <c r="Y74" s="257"/>
      <c r="Z74" s="257"/>
      <c r="AA74" s="257"/>
      <c r="AB74" s="257"/>
      <c r="AC74" s="257"/>
      <c r="AD74" s="257"/>
      <c r="AE74" s="257"/>
      <c r="AF74" s="257"/>
      <c r="AG74" s="257"/>
      <c r="AH74" s="257"/>
      <c r="AI74" s="257"/>
      <c r="AJ74" s="257"/>
      <c r="AK74" s="257"/>
      <c r="AL74" s="248"/>
      <c r="AM74" s="248"/>
      <c r="AN74" s="327"/>
      <c r="AO74" s="429"/>
      <c r="AP74" s="242"/>
      <c r="AQ74" s="415"/>
      <c r="AR74" s="407"/>
      <c r="AS74" s="407"/>
      <c r="AT74" s="407"/>
      <c r="AU74" s="407"/>
      <c r="AV74" s="407"/>
      <c r="AW74" s="235"/>
      <c r="AX74" s="238"/>
      <c r="AY74" s="254"/>
      <c r="AZ74" s="254"/>
      <c r="BA74" s="329"/>
      <c r="BB74" s="248"/>
      <c r="BC74" s="248"/>
      <c r="BD74" s="248"/>
      <c r="BE74" s="394"/>
      <c r="BF74" s="235"/>
      <c r="BG74" s="235"/>
      <c r="BH74" s="235"/>
      <c r="BI74" s="235"/>
      <c r="BJ74" s="235"/>
      <c r="BK74" s="235"/>
      <c r="BL74" s="235"/>
      <c r="BM74" s="235"/>
      <c r="BN74" s="235"/>
      <c r="BO74" s="235"/>
      <c r="BP74" s="235"/>
      <c r="BQ74" s="235"/>
      <c r="BR74" s="681"/>
      <c r="BS74" s="248"/>
      <c r="BT74" s="256"/>
      <c r="BU74" s="801"/>
      <c r="BV74" s="805"/>
      <c r="BW74" s="243"/>
      <c r="BX74" s="243"/>
      <c r="BY74" s="243"/>
      <c r="BZ74" s="243"/>
      <c r="CA74" s="243"/>
      <c r="CB74" s="243"/>
      <c r="CC74" s="243"/>
      <c r="CD74" s="243"/>
      <c r="CE74" s="243"/>
      <c r="CF74" s="243"/>
      <c r="CG74" s="243"/>
      <c r="CH74" s="243"/>
      <c r="CI74" s="806"/>
      <c r="CJ74" s="256"/>
      <c r="CK74" s="248"/>
      <c r="CL74" s="248"/>
      <c r="CM74" s="571"/>
      <c r="CN74" s="1313"/>
      <c r="CO74" s="1313"/>
      <c r="CP74" s="1313"/>
      <c r="CQ74" s="1313"/>
      <c r="CR74" s="1313"/>
      <c r="CS74" s="1313"/>
      <c r="CT74" s="1313"/>
      <c r="CU74" s="1313"/>
      <c r="CV74" s="1313"/>
      <c r="CW74" s="1313"/>
      <c r="CX74" s="1313"/>
      <c r="CY74" s="1313"/>
      <c r="CZ74" s="1313"/>
      <c r="DA74" s="1313"/>
      <c r="DB74" s="572"/>
      <c r="DC74" s="248"/>
      <c r="DD74" s="248"/>
      <c r="DE74" s="248"/>
      <c r="DF74" s="248"/>
      <c r="DG74" s="248"/>
      <c r="DH74" s="248"/>
      <c r="DI74" s="248"/>
      <c r="DJ74" s="248"/>
      <c r="DK74" s="248"/>
      <c r="DL74" s="248"/>
      <c r="DM74" s="248"/>
      <c r="DN74" s="248"/>
      <c r="DO74" s="248"/>
    </row>
    <row r="75" spans="1:119" s="6" customFormat="1" ht="11.85" customHeight="1" thickTop="1">
      <c r="A75" s="475"/>
      <c r="B75" s="1407" t="s">
        <v>360</v>
      </c>
      <c r="C75" s="1408"/>
      <c r="D75" s="475"/>
      <c r="E75" s="247"/>
      <c r="F75" s="524"/>
      <c r="G75" s="423"/>
      <c r="H75" s="371"/>
      <c r="I75" s="371"/>
      <c r="J75" s="371"/>
      <c r="K75" s="1411" t="str">
        <f>IF(AN37=1,"","Eigenvermarktung ("&amp;AN33&amp;"-"&amp;AN35&amp;"J.)")</f>
        <v/>
      </c>
      <c r="L75" s="1411"/>
      <c r="M75" s="1411"/>
      <c r="N75" s="1411"/>
      <c r="O75" s="1411"/>
      <c r="P75" s="1357" t="str">
        <f>IF($AN$13=1,"",IF($AN$11=1,"",IF($AN$37=1,"",ZRB!G82*-1)))</f>
        <v/>
      </c>
      <c r="Q75" s="1357"/>
      <c r="R75" s="1357"/>
      <c r="S75" s="424"/>
      <c r="T75" s="525"/>
      <c r="U75" s="257"/>
      <c r="V75" s="257"/>
      <c r="W75" s="257"/>
      <c r="X75" s="257"/>
      <c r="Y75" s="257"/>
      <c r="Z75" s="257"/>
      <c r="AA75" s="257"/>
      <c r="AB75" s="257"/>
      <c r="AC75" s="257"/>
      <c r="AD75" s="257"/>
      <c r="AE75" s="257"/>
      <c r="AF75" s="257"/>
      <c r="AG75" s="257"/>
      <c r="AH75" s="257"/>
      <c r="AI75" s="257"/>
      <c r="AJ75" s="257"/>
      <c r="AK75" s="257"/>
      <c r="AL75" s="248"/>
      <c r="AM75" s="248"/>
      <c r="AN75" s="327"/>
      <c r="AO75" s="429"/>
      <c r="AP75" s="1261"/>
      <c r="AQ75" s="1261"/>
      <c r="AR75" s="1261"/>
      <c r="AS75" s="1261"/>
      <c r="AT75" s="1261"/>
      <c r="AU75" s="1261"/>
      <c r="AV75" s="1261"/>
      <c r="AW75" s="235"/>
      <c r="AX75" s="250" t="s">
        <v>52</v>
      </c>
      <c r="AY75" s="1255"/>
      <c r="AZ75" s="1255"/>
      <c r="BA75" s="329"/>
      <c r="BB75" s="248"/>
      <c r="BC75" s="248"/>
      <c r="BD75" s="248"/>
      <c r="BE75" s="394"/>
      <c r="BF75" s="1330" t="str">
        <f>ZRB!B96</f>
        <v>keine Anlage erfasst !!</v>
      </c>
      <c r="BG75" s="1331"/>
      <c r="BH75" s="1331"/>
      <c r="BI75" s="1331"/>
      <c r="BJ75" s="1331"/>
      <c r="BK75" s="1331"/>
      <c r="BL75" s="1331"/>
      <c r="BM75" s="1331"/>
      <c r="BN75" s="1331"/>
      <c r="BO75" s="1331"/>
      <c r="BP75" s="1331"/>
      <c r="BQ75" s="1332"/>
      <c r="BR75" s="436"/>
      <c r="BS75" s="248"/>
      <c r="BT75" s="256"/>
      <c r="BU75" s="801">
        <f>ZRB!G109</f>
        <v>0</v>
      </c>
      <c r="BV75" s="823" t="str">
        <f>IF(OR(BU19=1,BU21=1),"","Berechnung der EEG-Umlage")</f>
        <v/>
      </c>
      <c r="BW75" s="243"/>
      <c r="BX75" s="243"/>
      <c r="BY75" s="243"/>
      <c r="BZ75" s="243"/>
      <c r="CA75" s="243" t="str">
        <f>IF(OR(BU19=1,BU21=1),"","(gewählte Einstellung:  "&amp;P65&amp;")")</f>
        <v/>
      </c>
      <c r="CB75" s="243"/>
      <c r="CC75" s="243"/>
      <c r="CD75" s="243"/>
      <c r="CE75" s="243"/>
      <c r="CF75" s="243"/>
      <c r="CG75" s="243"/>
      <c r="CH75" s="243"/>
      <c r="CI75" s="806"/>
      <c r="CJ75" s="256"/>
      <c r="CK75" s="248"/>
      <c r="CL75" s="248"/>
      <c r="CM75" s="571"/>
      <c r="CN75" s="1313" t="str">
        <f>IF($AN$13=1,"",IF($AN$21=1,"",IF($AN$11=1,"","Herstellungskosten von "&amp;ZRB!G57&amp;" €, einer Laufzeit der Anlage von "&amp;ZRB!G21&amp;" Jahren, einer unter-")))</f>
        <v/>
      </c>
      <c r="CO75" s="1313"/>
      <c r="CP75" s="1313"/>
      <c r="CQ75" s="1313"/>
      <c r="CR75" s="1313"/>
      <c r="CS75" s="1313"/>
      <c r="CT75" s="1313"/>
      <c r="CU75" s="1313"/>
      <c r="CV75" s="1313"/>
      <c r="CW75" s="1313"/>
      <c r="CX75" s="1313"/>
      <c r="CY75" s="1313"/>
      <c r="CZ75" s="1313"/>
      <c r="DA75" s="1313"/>
      <c r="DB75" s="572"/>
      <c r="DC75" s="248"/>
      <c r="DD75" s="248"/>
      <c r="DE75" s="248"/>
      <c r="DF75" s="248"/>
      <c r="DG75" s="248"/>
      <c r="DH75" s="248"/>
      <c r="DI75" s="248"/>
      <c r="DJ75" s="248"/>
      <c r="DK75" s="248"/>
      <c r="DL75" s="248"/>
      <c r="DM75" s="248"/>
      <c r="DN75" s="248"/>
      <c r="DO75" s="248"/>
    </row>
    <row r="76" spans="1:119" s="6" customFormat="1" ht="2.4500000000000002" customHeight="1">
      <c r="A76" s="475"/>
      <c r="B76" s="1409"/>
      <c r="C76" s="1410"/>
      <c r="D76" s="475"/>
      <c r="E76" s="247"/>
      <c r="F76" s="524"/>
      <c r="G76" s="423"/>
      <c r="H76" s="371"/>
      <c r="I76" s="371"/>
      <c r="J76" s="371"/>
      <c r="K76" s="1411"/>
      <c r="L76" s="1411"/>
      <c r="M76" s="1411"/>
      <c r="N76" s="1411"/>
      <c r="O76" s="1411"/>
      <c r="P76" s="1357"/>
      <c r="Q76" s="1357"/>
      <c r="R76" s="1357"/>
      <c r="S76" s="424"/>
      <c r="T76" s="525"/>
      <c r="U76" s="257"/>
      <c r="V76" s="149"/>
      <c r="W76" s="149"/>
      <c r="X76" s="149"/>
      <c r="Y76" s="149"/>
      <c r="Z76" s="149"/>
      <c r="AA76" s="149"/>
      <c r="AB76" s="149"/>
      <c r="AC76" s="149"/>
      <c r="AD76" s="149"/>
      <c r="AE76" s="149"/>
      <c r="AF76" s="149"/>
      <c r="AG76" s="149"/>
      <c r="AH76" s="149"/>
      <c r="AI76" s="149"/>
      <c r="AJ76" s="149"/>
      <c r="AK76" s="149"/>
      <c r="AL76" s="248"/>
      <c r="AM76" s="248"/>
      <c r="AN76" s="327"/>
      <c r="AO76" s="429"/>
      <c r="AP76" s="1268" t="s">
        <v>311</v>
      </c>
      <c r="AQ76" s="1268"/>
      <c r="AR76" s="1268"/>
      <c r="AS76" s="1268"/>
      <c r="AT76" s="1268"/>
      <c r="AU76" s="1268"/>
      <c r="AV76" s="1268"/>
      <c r="AW76" s="1268"/>
      <c r="AX76" s="1268"/>
      <c r="AY76" s="1257">
        <f>ZRB!G79</f>
        <v>0</v>
      </c>
      <c r="AZ76" s="1257"/>
      <c r="BA76" s="436"/>
      <c r="BB76" s="248"/>
      <c r="BC76" s="248"/>
      <c r="BD76" s="248"/>
      <c r="BE76" s="394"/>
      <c r="BF76" s="1333"/>
      <c r="BG76" s="1334"/>
      <c r="BH76" s="1334"/>
      <c r="BI76" s="1334"/>
      <c r="BJ76" s="1334"/>
      <c r="BK76" s="1334"/>
      <c r="BL76" s="1334"/>
      <c r="BM76" s="1334"/>
      <c r="BN76" s="1334"/>
      <c r="BO76" s="1334"/>
      <c r="BP76" s="1334"/>
      <c r="BQ76" s="1335"/>
      <c r="BR76" s="436"/>
      <c r="BS76" s="248"/>
      <c r="BT76" s="256"/>
      <c r="BU76" s="801"/>
      <c r="BV76" s="805"/>
      <c r="BW76" s="243"/>
      <c r="BX76" s="243"/>
      <c r="BY76" s="243"/>
      <c r="BZ76" s="243"/>
      <c r="CA76" s="243"/>
      <c r="CB76" s="243"/>
      <c r="CC76" s="243"/>
      <c r="CD76" s="243"/>
      <c r="CE76" s="243"/>
      <c r="CF76" s="243"/>
      <c r="CG76" s="243"/>
      <c r="CH76" s="243"/>
      <c r="CI76" s="806"/>
      <c r="CJ76" s="256"/>
      <c r="CK76" s="248"/>
      <c r="CL76" s="248"/>
      <c r="CM76" s="571"/>
      <c r="CN76" s="1313"/>
      <c r="CO76" s="1313"/>
      <c r="CP76" s="1313"/>
      <c r="CQ76" s="1313"/>
      <c r="CR76" s="1313"/>
      <c r="CS76" s="1313"/>
      <c r="CT76" s="1313"/>
      <c r="CU76" s="1313"/>
      <c r="CV76" s="1313"/>
      <c r="CW76" s="1313"/>
      <c r="CX76" s="1313"/>
      <c r="CY76" s="1313"/>
      <c r="CZ76" s="1313"/>
      <c r="DA76" s="1313"/>
      <c r="DB76" s="572"/>
      <c r="DC76" s="248"/>
      <c r="DD76" s="248"/>
      <c r="DE76" s="248"/>
      <c r="DF76" s="248"/>
      <c r="DG76" s="248"/>
      <c r="DH76" s="248"/>
      <c r="DI76" s="248"/>
      <c r="DJ76" s="248"/>
      <c r="DK76" s="248"/>
      <c r="DL76" s="248"/>
      <c r="DM76" s="248"/>
      <c r="DN76" s="248"/>
      <c r="DO76" s="248"/>
    </row>
    <row r="77" spans="1:119" s="6" customFormat="1" ht="11.85" customHeight="1">
      <c r="A77" s="475"/>
      <c r="B77" s="1409"/>
      <c r="C77" s="1410"/>
      <c r="D77" s="475"/>
      <c r="E77" s="247"/>
      <c r="F77" s="524"/>
      <c r="G77" s="423"/>
      <c r="H77" s="659" t="s">
        <v>355</v>
      </c>
      <c r="I77" s="659"/>
      <c r="J77" s="659"/>
      <c r="K77" s="1411" t="str">
        <f>"Stromverkauf nach d. "&amp;AN33&amp;". Jahr"</f>
        <v>Stromverkauf nach d. 20. Jahr</v>
      </c>
      <c r="L77" s="1411"/>
      <c r="M77" s="1411"/>
      <c r="N77" s="1411"/>
      <c r="O77" s="1411"/>
      <c r="P77" s="371"/>
      <c r="Q77" s="1342">
        <f>AN45/1000</f>
        <v>0.05</v>
      </c>
      <c r="R77" s="1343"/>
      <c r="S77" s="424"/>
      <c r="T77" s="525"/>
      <c r="U77" s="257"/>
      <c r="V77" s="149"/>
      <c r="W77" s="149"/>
      <c r="X77" s="149"/>
      <c r="Y77" s="149"/>
      <c r="Z77" s="149"/>
      <c r="AA77" s="149"/>
      <c r="AB77" s="149"/>
      <c r="AC77" s="149"/>
      <c r="AD77" s="149"/>
      <c r="AE77" s="149"/>
      <c r="AF77" s="149"/>
      <c r="AG77" s="149"/>
      <c r="AH77" s="149"/>
      <c r="AI77" s="149"/>
      <c r="AJ77" s="149"/>
      <c r="AK77" s="149"/>
      <c r="AL77" s="248"/>
      <c r="AM77" s="248"/>
      <c r="AN77" s="327"/>
      <c r="AO77" s="428"/>
      <c r="AP77" s="1268"/>
      <c r="AQ77" s="1268"/>
      <c r="AR77" s="1268"/>
      <c r="AS77" s="1268"/>
      <c r="AT77" s="1268"/>
      <c r="AU77" s="1268"/>
      <c r="AV77" s="1268"/>
      <c r="AW77" s="1268"/>
      <c r="AX77" s="1268"/>
      <c r="AY77" s="1257"/>
      <c r="AZ77" s="1257"/>
      <c r="BA77" s="436"/>
      <c r="BB77" s="248"/>
      <c r="BC77" s="248"/>
      <c r="BD77" s="248"/>
      <c r="BE77" s="394"/>
      <c r="BF77" s="1336"/>
      <c r="BG77" s="1337"/>
      <c r="BH77" s="1337"/>
      <c r="BI77" s="1337"/>
      <c r="BJ77" s="1337"/>
      <c r="BK77" s="1337"/>
      <c r="BL77" s="1337"/>
      <c r="BM77" s="1337"/>
      <c r="BN77" s="1337"/>
      <c r="BO77" s="1337"/>
      <c r="BP77" s="1337"/>
      <c r="BQ77" s="1338"/>
      <c r="BR77" s="436"/>
      <c r="BS77" s="248"/>
      <c r="BT77" s="256"/>
      <c r="BU77" s="801">
        <f>ZRB!G110</f>
        <v>240</v>
      </c>
      <c r="BV77" s="805"/>
      <c r="BW77" s="243" t="str">
        <f>IF(OR(BU19=1,BU21=1),"","&gt;&gt; ab 01.01.2017  ("&amp;ZRB!E110*100&amp;"%)")</f>
        <v/>
      </c>
      <c r="BX77" s="243"/>
      <c r="BY77" s="243"/>
      <c r="BZ77" s="466"/>
      <c r="CA77" s="243"/>
      <c r="CB77" s="243"/>
      <c r="CC77" s="243"/>
      <c r="CD77" s="243"/>
      <c r="CE77" s="1321" t="str">
        <f>IF(OR(BU19=1,BU21=1),"",ZRB!F110*100)</f>
        <v/>
      </c>
      <c r="CF77" s="1321"/>
      <c r="CG77" s="1321"/>
      <c r="CH77" s="1321"/>
      <c r="CI77" s="806"/>
      <c r="CJ77" s="256"/>
      <c r="CK77" s="248"/>
      <c r="CL77" s="248"/>
      <c r="CM77" s="571"/>
      <c r="CN77" s="1313" t="str">
        <f>IF($AN$13=1,"",IF($AN$21=1,ZRB!B35,IF($AN$11=1,"","stellten Verzinsung des Kapitals  von "&amp;ROUND(ZRB!F58,3)*100&amp;" %, Inbetriebnahme im "&amp;ZRB!G12&amp;", beläuft sich")))</f>
        <v/>
      </c>
      <c r="CO77" s="1313"/>
      <c r="CP77" s="1313"/>
      <c r="CQ77" s="1313"/>
      <c r="CR77" s="1313"/>
      <c r="CS77" s="1313"/>
      <c r="CT77" s="1313"/>
      <c r="CU77" s="1313"/>
      <c r="CV77" s="1313"/>
      <c r="CW77" s="1313"/>
      <c r="CX77" s="1313"/>
      <c r="CY77" s="1313"/>
      <c r="CZ77" s="1313"/>
      <c r="DA77" s="1313"/>
      <c r="DB77" s="572"/>
      <c r="DC77" s="248"/>
      <c r="DD77" s="248"/>
      <c r="DE77" s="248"/>
      <c r="DF77" s="248"/>
      <c r="DG77" s="248"/>
      <c r="DH77" s="248"/>
      <c r="DI77" s="248"/>
      <c r="DJ77" s="248"/>
      <c r="DK77" s="248"/>
      <c r="DL77" s="248"/>
      <c r="DM77" s="248"/>
      <c r="DN77" s="248"/>
      <c r="DO77" s="248"/>
    </row>
    <row r="78" spans="1:119" s="6" customFormat="1" ht="2.4500000000000002" customHeight="1">
      <c r="A78" s="475"/>
      <c r="B78" s="1409"/>
      <c r="C78" s="1410"/>
      <c r="D78" s="475"/>
      <c r="E78" s="247"/>
      <c r="F78" s="524"/>
      <c r="G78" s="423"/>
      <c r="H78" s="659"/>
      <c r="I78" s="659"/>
      <c r="J78" s="659"/>
      <c r="K78" s="1411"/>
      <c r="L78" s="1411"/>
      <c r="M78" s="1411"/>
      <c r="N78" s="1411"/>
      <c r="O78" s="1411"/>
      <c r="P78" s="371"/>
      <c r="Q78" s="371"/>
      <c r="R78" s="371"/>
      <c r="S78" s="424"/>
      <c r="T78" s="525"/>
      <c r="U78" s="257"/>
      <c r="V78" s="149"/>
      <c r="W78" s="149"/>
      <c r="X78" s="149"/>
      <c r="Y78" s="149"/>
      <c r="Z78" s="149"/>
      <c r="AA78" s="149"/>
      <c r="AB78" s="149"/>
      <c r="AC78" s="149"/>
      <c r="AD78" s="149"/>
      <c r="AE78" s="149"/>
      <c r="AF78" s="149"/>
      <c r="AG78" s="149"/>
      <c r="AH78" s="149"/>
      <c r="AI78" s="149"/>
      <c r="AJ78" s="149"/>
      <c r="AK78" s="149"/>
      <c r="AL78" s="248"/>
      <c r="AM78" s="248"/>
      <c r="AN78" s="327"/>
      <c r="AO78" s="429"/>
      <c r="AP78" s="1268"/>
      <c r="AQ78" s="1268"/>
      <c r="AR78" s="1268"/>
      <c r="AS78" s="1268"/>
      <c r="AT78" s="1268"/>
      <c r="AU78" s="1268"/>
      <c r="AV78" s="1268"/>
      <c r="AW78" s="1268"/>
      <c r="AX78" s="1268"/>
      <c r="AY78" s="1257"/>
      <c r="AZ78" s="1257"/>
      <c r="BA78" s="436"/>
      <c r="BB78" s="248"/>
      <c r="BC78" s="248"/>
      <c r="BD78" s="248"/>
      <c r="BE78" s="459"/>
      <c r="BF78" s="460"/>
      <c r="BG78" s="460"/>
      <c r="BH78" s="460"/>
      <c r="BI78" s="460"/>
      <c r="BJ78" s="460"/>
      <c r="BK78" s="460"/>
      <c r="BL78" s="460"/>
      <c r="BM78" s="460"/>
      <c r="BN78" s="461"/>
      <c r="BO78" s="462"/>
      <c r="BP78" s="462"/>
      <c r="BQ78" s="462"/>
      <c r="BR78" s="682"/>
      <c r="BS78" s="248"/>
      <c r="BT78" s="256"/>
      <c r="BU78" s="801"/>
      <c r="BV78" s="805"/>
      <c r="BW78" s="243"/>
      <c r="BX78" s="243"/>
      <c r="BY78" s="243"/>
      <c r="BZ78" s="466"/>
      <c r="CA78" s="243"/>
      <c r="CB78" s="243"/>
      <c r="CC78" s="243"/>
      <c r="CD78" s="243"/>
      <c r="CE78" s="243"/>
      <c r="CF78" s="243"/>
      <c r="CG78" s="243"/>
      <c r="CH78" s="243"/>
      <c r="CI78" s="806"/>
      <c r="CJ78" s="256"/>
      <c r="CK78" s="248"/>
      <c r="CL78" s="248"/>
      <c r="CM78" s="571"/>
      <c r="CN78" s="1313"/>
      <c r="CO78" s="1313"/>
      <c r="CP78" s="1313"/>
      <c r="CQ78" s="1313"/>
      <c r="CR78" s="1313"/>
      <c r="CS78" s="1313"/>
      <c r="CT78" s="1313"/>
      <c r="CU78" s="1313"/>
      <c r="CV78" s="1313"/>
      <c r="CW78" s="1313"/>
      <c r="CX78" s="1313"/>
      <c r="CY78" s="1313"/>
      <c r="CZ78" s="1313"/>
      <c r="DA78" s="1313"/>
      <c r="DB78" s="572"/>
      <c r="DC78" s="248"/>
      <c r="DD78" s="248"/>
      <c r="DE78" s="248"/>
      <c r="DF78" s="248"/>
      <c r="DG78" s="248"/>
      <c r="DH78" s="248"/>
      <c r="DI78" s="248"/>
      <c r="DJ78" s="248"/>
      <c r="DK78" s="248"/>
      <c r="DL78" s="248"/>
      <c r="DM78" s="248"/>
      <c r="DN78" s="248"/>
      <c r="DO78" s="248"/>
    </row>
    <row r="79" spans="1:119" s="6" customFormat="1" ht="11.85" customHeight="1" thickBot="1">
      <c r="A79" s="475"/>
      <c r="B79" s="1440" t="s">
        <v>356</v>
      </c>
      <c r="C79" s="1441"/>
      <c r="D79" s="475"/>
      <c r="E79" s="247"/>
      <c r="F79" s="524"/>
      <c r="G79" s="423"/>
      <c r="H79" s="1456" t="str">
        <f>IF(ZRB!F12&gt;=40,"","- Strom-Eigenverbrauchsbonus (01/09 bis 03/2012)")</f>
        <v/>
      </c>
      <c r="I79" s="1456"/>
      <c r="J79" s="1456"/>
      <c r="K79" s="1456"/>
      <c r="L79" s="1456"/>
      <c r="M79" s="1456"/>
      <c r="N79" s="1456"/>
      <c r="O79" s="1456"/>
      <c r="P79" s="1357" t="str">
        <f>IF(AN11=1,"",IF(ZRB!F12&gt;=40,"",ZRB!G86*-1))</f>
        <v/>
      </c>
      <c r="Q79" s="1357"/>
      <c r="R79" s="1357"/>
      <c r="S79" s="424"/>
      <c r="T79" s="525"/>
      <c r="U79" s="257"/>
      <c r="V79" s="149"/>
      <c r="W79" s="149"/>
      <c r="X79" s="149"/>
      <c r="Y79" s="149"/>
      <c r="Z79" s="149"/>
      <c r="AA79" s="149"/>
      <c r="AB79" s="149"/>
      <c r="AC79" s="149"/>
      <c r="AD79" s="149"/>
      <c r="AE79" s="149"/>
      <c r="AF79" s="149"/>
      <c r="AG79" s="149"/>
      <c r="AH79" s="149"/>
      <c r="AI79" s="149"/>
      <c r="AJ79" s="149"/>
      <c r="AK79" s="149"/>
      <c r="AL79" s="248"/>
      <c r="AM79" s="248"/>
      <c r="AN79" s="327"/>
      <c r="AO79" s="429"/>
      <c r="AP79" s="233" t="s">
        <v>270</v>
      </c>
      <c r="AQ79" s="233"/>
      <c r="AR79" s="233"/>
      <c r="AS79" s="233"/>
      <c r="AT79" s="233"/>
      <c r="AU79" s="233"/>
      <c r="AV79" s="233"/>
      <c r="AW79" s="470" t="str">
        <f>"(Info: "&amp;ZRB!I76*100&amp;"% = "&amp;ZRB!I77&amp;" Euro)"</f>
        <v>(Info: 0,3% = 0 Euro)</v>
      </c>
      <c r="AX79" s="250" t="s">
        <v>299</v>
      </c>
      <c r="AY79" s="1255"/>
      <c r="AZ79" s="1255"/>
      <c r="BA79" s="329"/>
      <c r="BB79" s="248"/>
      <c r="BC79" s="248"/>
      <c r="BD79" s="248"/>
      <c r="BE79" s="248"/>
      <c r="BF79" s="248"/>
      <c r="BG79" s="248"/>
      <c r="BH79" s="248"/>
      <c r="BI79" s="248"/>
      <c r="BJ79" s="248"/>
      <c r="BK79" s="248"/>
      <c r="BL79" s="248"/>
      <c r="BM79" s="248"/>
      <c r="BN79" s="248"/>
      <c r="BO79" s="248"/>
      <c r="BP79" s="248"/>
      <c r="BQ79" s="248"/>
      <c r="BR79" s="248"/>
      <c r="BS79" s="248"/>
      <c r="BT79" s="256"/>
      <c r="BU79" s="801"/>
      <c r="BV79" s="805"/>
      <c r="BW79" s="243" t="str">
        <f>IF(OR(BU19=1,BU21=1),"",IF(ZRB!G109&gt;0,"&gt;&gt; von 01.01. bis 31.12.2016  ("&amp;ZRB!E109*100&amp;"%)",""))</f>
        <v/>
      </c>
      <c r="BX79" s="243"/>
      <c r="BY79" s="243"/>
      <c r="BZ79" s="466"/>
      <c r="CA79" s="243"/>
      <c r="CB79" s="243"/>
      <c r="CC79" s="243"/>
      <c r="CD79" s="243"/>
      <c r="CE79" s="1321" t="str">
        <f>IF(OR(BU19=1,BU21=1),"",ZRB!F109*100)</f>
        <v/>
      </c>
      <c r="CF79" s="1321"/>
      <c r="CG79" s="1321"/>
      <c r="CH79" s="1321"/>
      <c r="CI79" s="806"/>
      <c r="CJ79" s="256"/>
      <c r="CK79" s="248"/>
      <c r="CL79" s="248"/>
      <c r="CM79" s="571"/>
      <c r="CN79" s="1313" t="str">
        <f>IF($AN$13=1,"",IF($AN$21=1,"",IF($AN$11=1,"",IF(ZRB!G104&gt;=0,"der Vorteil bei "&amp;ROUND(ZRB!F30,2)&amp;" % Eigenstromnutzung (ca. "&amp;ROUND(ZRB!G30,0)&amp;" kWh/Jahr) auf durchschnittlich","der Nachteil bei "&amp;ROUND(ZRB!F30,2)&amp;" % Eigenstromnutzung (ca. "&amp;ROUND(ZRB!G30,0)&amp;" kWh/Jahr) auf durchschnittlich"))))</f>
        <v/>
      </c>
      <c r="CO79" s="1313"/>
      <c r="CP79" s="1313"/>
      <c r="CQ79" s="1313"/>
      <c r="CR79" s="1313"/>
      <c r="CS79" s="1313"/>
      <c r="CT79" s="1313"/>
      <c r="CU79" s="1313"/>
      <c r="CV79" s="1313"/>
      <c r="CW79" s="1313"/>
      <c r="CX79" s="1313"/>
      <c r="CY79" s="1313"/>
      <c r="CZ79" s="1313"/>
      <c r="DA79" s="1313"/>
      <c r="DB79" s="572"/>
      <c r="DC79" s="248"/>
      <c r="DD79" s="248"/>
      <c r="DE79" s="248"/>
      <c r="DF79" s="248"/>
      <c r="DG79" s="248"/>
      <c r="DH79" s="248"/>
      <c r="DI79" s="248"/>
      <c r="DJ79" s="248"/>
      <c r="DK79" s="248"/>
      <c r="DL79" s="248"/>
      <c r="DM79" s="248"/>
      <c r="DN79" s="248"/>
      <c r="DO79" s="248"/>
    </row>
    <row r="80" spans="1:119" s="6" customFormat="1" ht="2.4500000000000002" customHeight="1" thickTop="1" thickBot="1">
      <c r="A80" s="475"/>
      <c r="B80" s="477"/>
      <c r="C80" s="476"/>
      <c r="D80" s="475"/>
      <c r="E80" s="247"/>
      <c r="F80" s="524"/>
      <c r="G80" s="423"/>
      <c r="H80" s="1456"/>
      <c r="I80" s="1456"/>
      <c r="J80" s="1456"/>
      <c r="K80" s="1456"/>
      <c r="L80" s="1456"/>
      <c r="M80" s="1456"/>
      <c r="N80" s="1456"/>
      <c r="O80" s="1457"/>
      <c r="P80" s="1452"/>
      <c r="Q80" s="1452"/>
      <c r="R80" s="1452"/>
      <c r="S80" s="557"/>
      <c r="T80" s="525"/>
      <c r="U80" s="257"/>
      <c r="V80" s="149"/>
      <c r="W80" s="149"/>
      <c r="X80" s="149"/>
      <c r="Y80" s="149"/>
      <c r="Z80" s="149"/>
      <c r="AA80" s="149"/>
      <c r="AB80" s="149"/>
      <c r="AC80" s="149"/>
      <c r="AD80" s="149"/>
      <c r="AE80" s="149"/>
      <c r="AF80" s="149"/>
      <c r="AG80" s="149"/>
      <c r="AH80" s="149"/>
      <c r="AI80" s="149"/>
      <c r="AJ80" s="149"/>
      <c r="AK80" s="149"/>
      <c r="AL80" s="248"/>
      <c r="AM80" s="248"/>
      <c r="AN80" s="327"/>
      <c r="AO80" s="429"/>
      <c r="AP80" s="242"/>
      <c r="AQ80" s="415"/>
      <c r="AR80" s="407"/>
      <c r="AS80" s="407"/>
      <c r="AT80" s="407"/>
      <c r="AU80" s="407"/>
      <c r="AV80" s="407"/>
      <c r="AW80" s="235"/>
      <c r="AX80" s="238"/>
      <c r="AY80" s="254"/>
      <c r="AZ80" s="254"/>
      <c r="BA80" s="329"/>
      <c r="BB80" s="248"/>
      <c r="BC80" s="248"/>
      <c r="BD80" s="248"/>
      <c r="BE80" s="248"/>
      <c r="BF80" s="248"/>
      <c r="BG80" s="248"/>
      <c r="BH80" s="248"/>
      <c r="BI80" s="248"/>
      <c r="BJ80" s="248"/>
      <c r="BK80" s="248"/>
      <c r="BL80" s="248"/>
      <c r="BM80" s="248"/>
      <c r="BN80" s="248"/>
      <c r="BO80" s="248"/>
      <c r="BP80" s="248"/>
      <c r="BQ80" s="248"/>
      <c r="BR80" s="248"/>
      <c r="BS80" s="248"/>
      <c r="BT80" s="256"/>
      <c r="BU80" s="801"/>
      <c r="BV80" s="805"/>
      <c r="BW80" s="243"/>
      <c r="BX80" s="243"/>
      <c r="BY80" s="243"/>
      <c r="BZ80" s="243"/>
      <c r="CA80" s="243"/>
      <c r="CB80" s="243"/>
      <c r="CC80" s="243"/>
      <c r="CD80" s="243"/>
      <c r="CE80" s="243"/>
      <c r="CF80" s="243"/>
      <c r="CG80" s="243"/>
      <c r="CH80" s="243"/>
      <c r="CI80" s="806"/>
      <c r="CJ80" s="256"/>
      <c r="CK80" s="248"/>
      <c r="CL80" s="248"/>
      <c r="CM80" s="571"/>
      <c r="CN80" s="1313"/>
      <c r="CO80" s="1313"/>
      <c r="CP80" s="1313"/>
      <c r="CQ80" s="1313"/>
      <c r="CR80" s="1313"/>
      <c r="CS80" s="1313"/>
      <c r="CT80" s="1313"/>
      <c r="CU80" s="1313"/>
      <c r="CV80" s="1313"/>
      <c r="CW80" s="1313"/>
      <c r="CX80" s="1313"/>
      <c r="CY80" s="1313"/>
      <c r="CZ80" s="1313"/>
      <c r="DA80" s="1313"/>
      <c r="DB80" s="572"/>
      <c r="DC80" s="248"/>
      <c r="DD80" s="248"/>
      <c r="DE80" s="248"/>
      <c r="DF80" s="248"/>
      <c r="DG80" s="248"/>
      <c r="DH80" s="248"/>
      <c r="DI80" s="248"/>
      <c r="DJ80" s="248"/>
      <c r="DK80" s="248"/>
      <c r="DL80" s="248"/>
      <c r="DM80" s="248"/>
      <c r="DN80" s="248"/>
      <c r="DO80" s="248"/>
    </row>
    <row r="81" spans="1:119" s="6" customFormat="1" ht="11.85" customHeight="1" thickTop="1">
      <c r="A81" s="475"/>
      <c r="B81" s="477"/>
      <c r="C81" s="476"/>
      <c r="D81" s="475"/>
      <c r="E81" s="247"/>
      <c r="F81" s="524"/>
      <c r="G81" s="1458" t="str">
        <f>IF($AN$11=1,"","Die Vollkosten belaufen sich bei einer Jahreserzeugung von rund "&amp;ROUND(ZRB!G23,0)&amp;" kWh und Jahreskosten von "&amp;ROUND(ZRB!G80,0)&amp;" € auf:")</f>
        <v/>
      </c>
      <c r="H81" s="1459"/>
      <c r="I81" s="1459"/>
      <c r="J81" s="1459"/>
      <c r="K81" s="1459"/>
      <c r="L81" s="1459"/>
      <c r="M81" s="1459"/>
      <c r="N81" s="1460"/>
      <c r="O81" s="1399" t="str">
        <f>IF(AN11=1,"","1 kWh Eigenstrom kostet:")</f>
        <v/>
      </c>
      <c r="P81" s="1400"/>
      <c r="Q81" s="1400"/>
      <c r="R81" s="1400"/>
      <c r="S81" s="1401"/>
      <c r="T81" s="525"/>
      <c r="U81" s="257"/>
      <c r="V81" s="149"/>
      <c r="W81" s="149"/>
      <c r="X81" s="149"/>
      <c r="Y81" s="149"/>
      <c r="Z81" s="149"/>
      <c r="AA81" s="149"/>
      <c r="AB81" s="149"/>
      <c r="AC81" s="149"/>
      <c r="AD81" s="149"/>
      <c r="AE81" s="149"/>
      <c r="AF81" s="149"/>
      <c r="AG81" s="149"/>
      <c r="AH81" s="149"/>
      <c r="AI81" s="149"/>
      <c r="AJ81" s="149"/>
      <c r="AK81" s="149"/>
      <c r="AL81" s="248"/>
      <c r="AM81" s="248"/>
      <c r="AN81" s="327"/>
      <c r="AO81" s="429"/>
      <c r="AP81" s="1261" t="s">
        <v>303</v>
      </c>
      <c r="AQ81" s="1261"/>
      <c r="AR81" s="1261"/>
      <c r="AS81" s="1261"/>
      <c r="AT81" s="1261"/>
      <c r="AU81" s="1261"/>
      <c r="AV81" s="1261"/>
      <c r="AW81" s="235"/>
      <c r="AX81" s="250" t="s">
        <v>52</v>
      </c>
      <c r="AY81" s="1255"/>
      <c r="AZ81" s="1255"/>
      <c r="BA81" s="329"/>
      <c r="BB81" s="248"/>
      <c r="BC81" s="248"/>
      <c r="BD81" s="248"/>
      <c r="BE81" s="248"/>
      <c r="BF81" s="248"/>
      <c r="BG81" s="248"/>
      <c r="BH81" s="248"/>
      <c r="BI81" s="248"/>
      <c r="BJ81" s="248"/>
      <c r="BK81" s="248"/>
      <c r="BL81" s="248"/>
      <c r="BM81" s="248"/>
      <c r="BN81" s="248"/>
      <c r="BO81" s="248"/>
      <c r="BP81" s="248"/>
      <c r="BQ81" s="248"/>
      <c r="BR81" s="248"/>
      <c r="BS81" s="248"/>
      <c r="BT81" s="256"/>
      <c r="BU81" s="801"/>
      <c r="BV81" s="805"/>
      <c r="BW81" s="243" t="str">
        <f>IF(OR(BU19=1,BU21=1),"",IF(ZRB!G108&gt;0,"&gt;&gt; bis 31.12.2015  ("&amp;ZRB!E108*100&amp;"%)",""))</f>
        <v/>
      </c>
      <c r="BX81" s="243"/>
      <c r="BY81" s="243"/>
      <c r="BZ81" s="243"/>
      <c r="CA81" s="243"/>
      <c r="CB81" s="243"/>
      <c r="CC81" s="243"/>
      <c r="CD81" s="243"/>
      <c r="CE81" s="1321" t="str">
        <f>IF(OR(BU19=1,BU21=1),"",ZRB!F108*100)</f>
        <v/>
      </c>
      <c r="CF81" s="1321"/>
      <c r="CG81" s="1321"/>
      <c r="CH81" s="1321"/>
      <c r="CI81" s="806"/>
      <c r="CJ81" s="256"/>
      <c r="CK81" s="248"/>
      <c r="CL81" s="248"/>
      <c r="CM81" s="571"/>
      <c r="CN81" s="1322" t="str">
        <f>IF($AN$13=1,"",IF($AN$21=1,"",IF($AN$11=1,"",""&amp;ROUND(ZRB!G103,3)*100&amp;" Cent/kWh")))</f>
        <v/>
      </c>
      <c r="CO81" s="1322"/>
      <c r="CP81" s="1322"/>
      <c r="CQ81" s="1322"/>
      <c r="CR81" s="1341" t="str">
        <f>IF($AN$13=1,"",IF($AN$21=1,"",IF($AN$11=1,"","("&amp;ROUND(ZRB!G102,4)&amp;" -  "&amp;ROUND(ZRB!G114,4)&amp;" €/kWh)")))</f>
        <v/>
      </c>
      <c r="CS81" s="1341"/>
      <c r="CT81" s="1341"/>
      <c r="CU81" s="1341"/>
      <c r="CV81" s="1341"/>
      <c r="CW81" s="1325" t="str">
        <f>IF($AN$13=1,"",IF($AN$21=1,"",IF($AN$11=1,"","bzw. rd. "&amp;ROUNDDOWN(ZRB!G104,-1)&amp;" €/Jahr")))</f>
        <v/>
      </c>
      <c r="CX81" s="1325"/>
      <c r="CY81" s="1325"/>
      <c r="CZ81" s="1325"/>
      <c r="DA81" s="1325"/>
      <c r="DB81" s="572"/>
      <c r="DC81" s="248"/>
      <c r="DD81" s="248"/>
      <c r="DE81" s="248"/>
      <c r="DF81" s="248"/>
      <c r="DG81" s="248"/>
      <c r="DH81" s="248"/>
      <c r="DI81" s="248"/>
      <c r="DJ81" s="248"/>
      <c r="DK81" s="248"/>
      <c r="DL81" s="248"/>
      <c r="DM81" s="248"/>
      <c r="DN81" s="248"/>
      <c r="DO81" s="248"/>
    </row>
    <row r="82" spans="1:119" s="6" customFormat="1" ht="2.4500000000000002" customHeight="1">
      <c r="A82" s="475"/>
      <c r="B82" s="475"/>
      <c r="C82" s="475"/>
      <c r="D82" s="475"/>
      <c r="E82" s="247"/>
      <c r="F82" s="524"/>
      <c r="G82" s="1461"/>
      <c r="H82" s="1462"/>
      <c r="I82" s="1462"/>
      <c r="J82" s="1462"/>
      <c r="K82" s="1462"/>
      <c r="L82" s="1462"/>
      <c r="M82" s="1462"/>
      <c r="N82" s="1463"/>
      <c r="O82" s="1402"/>
      <c r="P82" s="1403"/>
      <c r="Q82" s="1403"/>
      <c r="R82" s="1403"/>
      <c r="S82" s="1404"/>
      <c r="T82" s="525"/>
      <c r="U82" s="257"/>
      <c r="V82" s="149"/>
      <c r="W82" s="149"/>
      <c r="X82" s="149"/>
      <c r="Y82" s="149"/>
      <c r="Z82" s="149"/>
      <c r="AA82" s="149"/>
      <c r="AB82" s="149"/>
      <c r="AC82" s="149"/>
      <c r="AD82" s="149"/>
      <c r="AE82" s="149"/>
      <c r="AF82" s="149"/>
      <c r="AG82" s="149"/>
      <c r="AH82" s="149"/>
      <c r="AI82" s="149"/>
      <c r="AJ82" s="149"/>
      <c r="AK82" s="149"/>
      <c r="AL82" s="248"/>
      <c r="AM82" s="149"/>
      <c r="AN82" s="327"/>
      <c r="AO82" s="429"/>
      <c r="AP82" s="235"/>
      <c r="AQ82" s="235"/>
      <c r="AR82" s="235"/>
      <c r="AS82" s="235"/>
      <c r="AT82" s="235"/>
      <c r="AU82" s="235"/>
      <c r="AV82" s="235"/>
      <c r="AW82" s="235"/>
      <c r="AX82" s="250"/>
      <c r="AY82" s="235"/>
      <c r="AZ82" s="235"/>
      <c r="BA82" s="329"/>
      <c r="BB82" s="248"/>
      <c r="BC82" s="248"/>
      <c r="BD82" s="248"/>
      <c r="BE82" s="248"/>
      <c r="BF82" s="248"/>
      <c r="BG82" s="248"/>
      <c r="BH82" s="248"/>
      <c r="BI82" s="248"/>
      <c r="BJ82" s="248"/>
      <c r="BK82" s="248"/>
      <c r="BL82" s="248"/>
      <c r="BM82" s="248"/>
      <c r="BN82" s="248"/>
      <c r="BO82" s="248"/>
      <c r="BP82" s="248"/>
      <c r="BQ82" s="248"/>
      <c r="BR82" s="248"/>
      <c r="BS82" s="248"/>
      <c r="BT82" s="256"/>
      <c r="BU82" s="801"/>
      <c r="BV82" s="805"/>
      <c r="BW82" s="243"/>
      <c r="BX82" s="243"/>
      <c r="BY82" s="243"/>
      <c r="BZ82" s="243"/>
      <c r="CA82" s="243"/>
      <c r="CB82" s="243"/>
      <c r="CC82" s="243"/>
      <c r="CD82" s="243"/>
      <c r="CE82" s="243"/>
      <c r="CF82" s="243"/>
      <c r="CG82" s="243"/>
      <c r="CH82" s="243"/>
      <c r="CI82" s="806"/>
      <c r="CJ82" s="256"/>
      <c r="CK82" s="248"/>
      <c r="CL82" s="248"/>
      <c r="CM82" s="571"/>
      <c r="CN82" s="1322"/>
      <c r="CO82" s="1322"/>
      <c r="CP82" s="1322"/>
      <c r="CQ82" s="1322"/>
      <c r="CR82" s="1341"/>
      <c r="CS82" s="1341"/>
      <c r="CT82" s="1341"/>
      <c r="CU82" s="1341"/>
      <c r="CV82" s="1341"/>
      <c r="CW82" s="1325"/>
      <c r="CX82" s="1325"/>
      <c r="CY82" s="1325"/>
      <c r="CZ82" s="1325"/>
      <c r="DA82" s="1325"/>
      <c r="DB82" s="572"/>
      <c r="DC82" s="248"/>
      <c r="DD82" s="149"/>
      <c r="DE82" s="149"/>
      <c r="DF82" s="149"/>
      <c r="DG82" s="149"/>
      <c r="DH82" s="149"/>
      <c r="DI82" s="149"/>
      <c r="DJ82" s="149"/>
      <c r="DK82" s="149"/>
      <c r="DL82" s="149"/>
      <c r="DM82" s="149"/>
      <c r="DN82" s="149"/>
      <c r="DO82" s="149"/>
    </row>
    <row r="83" spans="1:119" s="6" customFormat="1" ht="11.85" customHeight="1">
      <c r="A83" s="475"/>
      <c r="B83" s="475"/>
      <c r="C83" s="475"/>
      <c r="D83" s="475"/>
      <c r="E83" s="247"/>
      <c r="F83" s="524"/>
      <c r="G83" s="1461"/>
      <c r="H83" s="1462"/>
      <c r="I83" s="1462"/>
      <c r="J83" s="1462"/>
      <c r="K83" s="1462"/>
      <c r="L83" s="1462"/>
      <c r="M83" s="1462"/>
      <c r="N83" s="1463"/>
      <c r="O83" s="1453" t="str">
        <f>IF(AN21=1,"",IF(AN11=1,"",ROUND((ZRB!G80)/(ZRB!G23)*100,2)))</f>
        <v/>
      </c>
      <c r="P83" s="1454"/>
      <c r="Q83" s="1454"/>
      <c r="R83" s="1454"/>
      <c r="S83" s="1455"/>
      <c r="T83" s="525"/>
      <c r="U83" s="257"/>
      <c r="V83" s="149"/>
      <c r="W83" s="149"/>
      <c r="X83" s="149"/>
      <c r="Y83" s="149"/>
      <c r="Z83" s="149"/>
      <c r="AA83" s="149"/>
      <c r="AB83" s="149"/>
      <c r="AC83" s="149"/>
      <c r="AD83" s="149"/>
      <c r="AE83" s="149"/>
      <c r="AF83" s="149"/>
      <c r="AG83" s="149"/>
      <c r="AH83" s="149"/>
      <c r="AI83" s="149"/>
      <c r="AJ83" s="149"/>
      <c r="AK83" s="149"/>
      <c r="AL83" s="248"/>
      <c r="AM83" s="149"/>
      <c r="AN83" s="894">
        <f>ZRB!G32</f>
        <v>0</v>
      </c>
      <c r="AO83" s="429"/>
      <c r="AP83" s="895" t="str">
        <f>IF(E15=2,"Stromvermarktung","")</f>
        <v/>
      </c>
      <c r="AQ83" s="233"/>
      <c r="AR83" s="233"/>
      <c r="AS83" s="1476" t="str">
        <f>IF(E15=2,"("&amp;ROUND(AN83,0)&amp;" kWh * "&amp;AN85&amp;" €/kWh)","")</f>
        <v/>
      </c>
      <c r="AT83" s="1476"/>
      <c r="AU83" s="1476"/>
      <c r="AV83" s="1475"/>
      <c r="AW83" s="1475"/>
      <c r="AX83" s="250" t="s">
        <v>299</v>
      </c>
      <c r="AY83" s="1292">
        <f>IF(E15=2,AN83*AN85,0)</f>
        <v>0</v>
      </c>
      <c r="AZ83" s="1292"/>
      <c r="BA83" s="329"/>
      <c r="BB83" s="248"/>
      <c r="BC83" s="248"/>
      <c r="BD83" s="248"/>
      <c r="BE83" s="248"/>
      <c r="BF83" s="248"/>
      <c r="BG83" s="248"/>
      <c r="BH83" s="248"/>
      <c r="BI83" s="248"/>
      <c r="BJ83" s="248"/>
      <c r="BK83" s="248"/>
      <c r="BL83" s="248"/>
      <c r="BM83" s="248"/>
      <c r="BN83" s="248"/>
      <c r="BO83" s="248"/>
      <c r="BP83" s="248"/>
      <c r="BQ83" s="248"/>
      <c r="BR83" s="248"/>
      <c r="BS83" s="248"/>
      <c r="BT83" s="256"/>
      <c r="BU83" s="801"/>
      <c r="BV83" s="805"/>
      <c r="BW83" s="822" t="str">
        <f>IF(ZRB!G112&gt;0,"durchschnittliche Höhe der anteiligen EEG-Umlage:","")</f>
        <v/>
      </c>
      <c r="BX83" s="822"/>
      <c r="BY83" s="822"/>
      <c r="BZ83" s="822"/>
      <c r="CA83" s="822"/>
      <c r="CB83" s="822"/>
      <c r="CC83" s="822"/>
      <c r="CD83" s="822"/>
      <c r="CE83" s="1339" t="str">
        <f>IF(OR(BU19=1,BU21=1),"",ZRB!G113*100)</f>
        <v/>
      </c>
      <c r="CF83" s="1339"/>
      <c r="CG83" s="1339"/>
      <c r="CH83" s="1339"/>
      <c r="CI83" s="806"/>
      <c r="CJ83" s="256"/>
      <c r="CK83" s="248"/>
      <c r="CL83" s="248"/>
      <c r="CM83" s="571"/>
      <c r="CN83" s="1322"/>
      <c r="CO83" s="1322"/>
      <c r="CP83" s="1322"/>
      <c r="CQ83" s="1322"/>
      <c r="CR83" s="1341"/>
      <c r="CS83" s="1341"/>
      <c r="CT83" s="1341"/>
      <c r="CU83" s="1341"/>
      <c r="CV83" s="1341"/>
      <c r="CW83" s="1325"/>
      <c r="CX83" s="1325"/>
      <c r="CY83" s="1325"/>
      <c r="CZ83" s="1325"/>
      <c r="DA83" s="1325"/>
      <c r="DB83" s="572"/>
      <c r="DC83" s="248"/>
      <c r="DD83" s="149"/>
      <c r="DE83" s="149"/>
      <c r="DF83" s="149"/>
      <c r="DG83" s="149"/>
      <c r="DH83" s="149"/>
      <c r="DI83" s="149"/>
      <c r="DJ83" s="149"/>
      <c r="DK83" s="149"/>
      <c r="DL83" s="149"/>
      <c r="DM83" s="149"/>
      <c r="DN83" s="149"/>
      <c r="DO83" s="149"/>
    </row>
    <row r="84" spans="1:119" s="6" customFormat="1" ht="2.4500000000000002" customHeight="1">
      <c r="A84" s="475"/>
      <c r="B84" s="475"/>
      <c r="C84" s="475"/>
      <c r="D84" s="475"/>
      <c r="E84" s="247"/>
      <c r="F84" s="524"/>
      <c r="G84" s="1461"/>
      <c r="H84" s="1462"/>
      <c r="I84" s="1462"/>
      <c r="J84" s="1462"/>
      <c r="K84" s="1462"/>
      <c r="L84" s="1462"/>
      <c r="M84" s="1462"/>
      <c r="N84" s="1463"/>
      <c r="O84" s="1453"/>
      <c r="P84" s="1454"/>
      <c r="Q84" s="1454"/>
      <c r="R84" s="1454"/>
      <c r="S84" s="1455"/>
      <c r="T84" s="525"/>
      <c r="U84" s="257"/>
      <c r="V84" s="149"/>
      <c r="W84" s="149"/>
      <c r="X84" s="149"/>
      <c r="Y84" s="149"/>
      <c r="Z84" s="149"/>
      <c r="AA84" s="149"/>
      <c r="AB84" s="149"/>
      <c r="AC84" s="149"/>
      <c r="AD84" s="149"/>
      <c r="AE84" s="149"/>
      <c r="AF84" s="149"/>
      <c r="AG84" s="149"/>
      <c r="AH84" s="149"/>
      <c r="AI84" s="149"/>
      <c r="AJ84" s="149"/>
      <c r="AK84" s="149"/>
      <c r="AL84" s="248"/>
      <c r="AM84" s="149"/>
      <c r="AN84" s="247"/>
      <c r="AO84" s="430"/>
      <c r="AP84" s="265"/>
      <c r="AQ84" s="265"/>
      <c r="AR84" s="265"/>
      <c r="AS84" s="265"/>
      <c r="AT84" s="265"/>
      <c r="AU84" s="265"/>
      <c r="AV84" s="265"/>
      <c r="AW84" s="265"/>
      <c r="AX84" s="265"/>
      <c r="AY84" s="265"/>
      <c r="AZ84" s="265"/>
      <c r="BA84" s="396"/>
      <c r="BB84" s="248"/>
      <c r="BC84" s="248"/>
      <c r="BD84" s="248"/>
      <c r="BE84" s="248"/>
      <c r="BF84" s="248"/>
      <c r="BG84" s="248"/>
      <c r="BH84" s="248"/>
      <c r="BI84" s="248"/>
      <c r="BJ84" s="248"/>
      <c r="BK84" s="248"/>
      <c r="BL84" s="248"/>
      <c r="BM84" s="248"/>
      <c r="BN84" s="248"/>
      <c r="BO84" s="248"/>
      <c r="BP84" s="248"/>
      <c r="BQ84" s="248"/>
      <c r="BR84" s="248"/>
      <c r="BS84" s="248"/>
      <c r="BT84" s="256"/>
      <c r="BU84" s="801"/>
      <c r="BV84" s="805"/>
      <c r="BW84" s="243"/>
      <c r="BX84" s="243"/>
      <c r="BY84" s="243"/>
      <c r="BZ84" s="243"/>
      <c r="CA84" s="243"/>
      <c r="CB84" s="243"/>
      <c r="CC84" s="243"/>
      <c r="CD84" s="243"/>
      <c r="CE84" s="243"/>
      <c r="CF84" s="243"/>
      <c r="CG84" s="243"/>
      <c r="CH84" s="243"/>
      <c r="CI84" s="806"/>
      <c r="CJ84" s="256"/>
      <c r="CK84" s="248"/>
      <c r="CL84" s="248"/>
      <c r="CM84" s="571"/>
      <c r="CN84" s="698"/>
      <c r="CO84" s="698"/>
      <c r="CP84" s="698"/>
      <c r="CQ84" s="698"/>
      <c r="CR84" s="698"/>
      <c r="CS84" s="466"/>
      <c r="CT84" s="466"/>
      <c r="CU84" s="466"/>
      <c r="CV84" s="466"/>
      <c r="CW84" s="698"/>
      <c r="CX84" s="698"/>
      <c r="CY84" s="698"/>
      <c r="CZ84" s="698"/>
      <c r="DA84" s="698"/>
      <c r="DB84" s="572"/>
      <c r="DC84" s="248"/>
      <c r="DD84" s="149"/>
      <c r="DE84" s="149"/>
      <c r="DF84" s="149"/>
      <c r="DG84" s="149"/>
      <c r="DH84" s="149"/>
      <c r="DI84" s="149"/>
      <c r="DJ84" s="149"/>
      <c r="DK84" s="149"/>
      <c r="DL84" s="149"/>
      <c r="DM84" s="149"/>
      <c r="DN84" s="149"/>
      <c r="DO84" s="149"/>
    </row>
    <row r="85" spans="1:119" s="6" customFormat="1" ht="11.85" customHeight="1">
      <c r="A85" s="1398" t="s">
        <v>332</v>
      </c>
      <c r="B85" s="1398"/>
      <c r="C85" s="1398"/>
      <c r="D85" s="1398"/>
      <c r="E85" s="247"/>
      <c r="F85" s="524"/>
      <c r="G85" s="1461"/>
      <c r="H85" s="1462"/>
      <c r="I85" s="1462"/>
      <c r="J85" s="1462"/>
      <c r="K85" s="1462"/>
      <c r="L85" s="1462"/>
      <c r="M85" s="1462"/>
      <c r="N85" s="1463"/>
      <c r="O85" s="1467" t="str">
        <f>IF(P13&gt;E17,"keine Berechnung !",IF(AN11=1,"",ROUND(ZRB!G113*100,2)))</f>
        <v/>
      </c>
      <c r="P85" s="1468"/>
      <c r="Q85" s="1468"/>
      <c r="R85" s="1468"/>
      <c r="S85" s="1469"/>
      <c r="T85" s="525"/>
      <c r="U85" s="257"/>
      <c r="V85" s="149"/>
      <c r="W85" s="149"/>
      <c r="X85" s="149"/>
      <c r="Y85" s="149"/>
      <c r="Z85" s="149"/>
      <c r="AA85" s="149"/>
      <c r="AB85" s="149"/>
      <c r="AC85" s="149"/>
      <c r="AD85" s="149"/>
      <c r="AE85" s="149"/>
      <c r="AF85" s="149"/>
      <c r="AG85" s="149"/>
      <c r="AH85" s="149"/>
      <c r="AI85" s="149"/>
      <c r="AJ85" s="149"/>
      <c r="AK85" s="149"/>
      <c r="AL85" s="248"/>
      <c r="AM85" s="149"/>
      <c r="AN85" s="266">
        <f>IF(ISNUMBER(AV83),AV83,ZRB!I78)</f>
        <v>2E-3</v>
      </c>
      <c r="AO85" s="149"/>
      <c r="AP85" s="149"/>
      <c r="AQ85" s="149"/>
      <c r="AR85" s="149"/>
      <c r="AS85" s="149"/>
      <c r="AT85" s="149"/>
      <c r="AU85" s="149"/>
      <c r="AV85" s="149"/>
      <c r="AW85" s="149"/>
      <c r="AX85" s="149"/>
      <c r="AY85" s="149"/>
      <c r="AZ85" s="149"/>
      <c r="BA85" s="149"/>
      <c r="BB85" s="248"/>
      <c r="BC85" s="248"/>
      <c r="BD85" s="248"/>
      <c r="BE85" s="248"/>
      <c r="BF85" s="248"/>
      <c r="BG85" s="248"/>
      <c r="BH85" s="248"/>
      <c r="BI85" s="248"/>
      <c r="BJ85" s="248"/>
      <c r="BK85" s="248"/>
      <c r="BL85" s="248"/>
      <c r="BM85" s="248"/>
      <c r="BN85" s="248"/>
      <c r="BO85" s="248"/>
      <c r="BP85" s="248"/>
      <c r="BQ85" s="248"/>
      <c r="BR85" s="248"/>
      <c r="BS85" s="248"/>
      <c r="BT85" s="256"/>
      <c r="BU85" s="801"/>
      <c r="BV85" s="819"/>
      <c r="BW85" s="820"/>
      <c r="BX85" s="820"/>
      <c r="BY85" s="820"/>
      <c r="BZ85" s="820"/>
      <c r="CA85" s="820"/>
      <c r="CB85" s="820"/>
      <c r="CC85" s="820"/>
      <c r="CD85" s="820"/>
      <c r="CE85" s="820"/>
      <c r="CF85" s="820"/>
      <c r="CG85" s="820"/>
      <c r="CH85" s="820"/>
      <c r="CI85" s="821"/>
      <c r="CJ85" s="256"/>
      <c r="CK85" s="248"/>
      <c r="CL85" s="248"/>
      <c r="CM85" s="573"/>
      <c r="CN85" s="574"/>
      <c r="CO85" s="574"/>
      <c r="CP85" s="574"/>
      <c r="CQ85" s="574"/>
      <c r="CR85" s="574"/>
      <c r="CS85" s="574"/>
      <c r="CT85" s="574"/>
      <c r="CU85" s="574"/>
      <c r="CV85" s="574"/>
      <c r="CW85" s="574"/>
      <c r="CX85" s="574"/>
      <c r="CY85" s="574"/>
      <c r="CZ85" s="574"/>
      <c r="DA85" s="574"/>
      <c r="DB85" s="575"/>
      <c r="DC85" s="248"/>
      <c r="DD85" s="149"/>
      <c r="DE85" s="149"/>
      <c r="DF85" s="149"/>
      <c r="DG85" s="149"/>
      <c r="DH85" s="149"/>
      <c r="DI85" s="149"/>
      <c r="DJ85" s="149"/>
      <c r="DK85" s="149"/>
      <c r="DL85" s="149"/>
      <c r="DM85" s="149"/>
      <c r="DN85" s="149"/>
      <c r="DO85" s="149"/>
    </row>
    <row r="86" spans="1:119" s="6" customFormat="1" ht="2.4500000000000002" customHeight="1">
      <c r="A86" s="475"/>
      <c r="B86" s="475"/>
      <c r="C86" s="475"/>
      <c r="D86" s="475"/>
      <c r="E86" s="247"/>
      <c r="F86" s="524"/>
      <c r="G86" s="1461"/>
      <c r="H86" s="1462"/>
      <c r="I86" s="1462"/>
      <c r="J86" s="1462"/>
      <c r="K86" s="1462"/>
      <c r="L86" s="1462"/>
      <c r="M86" s="1462"/>
      <c r="N86" s="1463"/>
      <c r="O86" s="1446" t="str">
        <f>IF(P13&gt;E17,"",IF(AN11=1,"",ZRB!G117*100))</f>
        <v/>
      </c>
      <c r="P86" s="1447"/>
      <c r="Q86" s="1447"/>
      <c r="R86" s="1447"/>
      <c r="S86" s="1448"/>
      <c r="T86" s="525"/>
      <c r="U86" s="257"/>
      <c r="V86" s="149"/>
      <c r="W86" s="149"/>
      <c r="X86" s="149"/>
      <c r="Y86" s="149"/>
      <c r="Z86" s="149"/>
      <c r="AA86" s="149"/>
      <c r="AB86" s="149"/>
      <c r="AC86" s="149"/>
      <c r="AD86" s="149"/>
      <c r="AE86" s="149"/>
      <c r="AF86" s="149"/>
      <c r="AG86" s="149"/>
      <c r="AH86" s="149"/>
      <c r="AI86" s="149"/>
      <c r="AJ86" s="149"/>
      <c r="AK86" s="149"/>
      <c r="AL86" s="248"/>
      <c r="AM86" s="149"/>
      <c r="AN86" s="149"/>
      <c r="AO86" s="149"/>
      <c r="AP86" s="149"/>
      <c r="AQ86" s="149"/>
      <c r="AR86" s="149"/>
      <c r="AS86" s="149"/>
      <c r="AT86" s="149"/>
      <c r="AU86" s="149"/>
      <c r="AV86" s="149"/>
      <c r="AW86" s="149"/>
      <c r="AX86" s="149"/>
      <c r="AY86" s="149"/>
      <c r="AZ86" s="149"/>
      <c r="BA86" s="149"/>
      <c r="BB86" s="248"/>
      <c r="BC86" s="149"/>
      <c r="BD86" s="149"/>
      <c r="BE86" s="248"/>
      <c r="BF86" s="248"/>
      <c r="BG86" s="248"/>
      <c r="BH86" s="248"/>
      <c r="BI86" s="248"/>
      <c r="BJ86" s="248"/>
      <c r="BK86" s="248"/>
      <c r="BL86" s="248"/>
      <c r="BM86" s="248"/>
      <c r="BN86" s="248"/>
      <c r="BO86" s="248"/>
      <c r="BP86" s="248"/>
      <c r="BQ86" s="248"/>
      <c r="BR86" s="248"/>
      <c r="BS86" s="248"/>
      <c r="BT86" s="256"/>
      <c r="BU86" s="801"/>
      <c r="BV86" s="243"/>
      <c r="BW86" s="243"/>
      <c r="BX86" s="243"/>
      <c r="BY86" s="243"/>
      <c r="BZ86" s="243"/>
      <c r="CA86" s="243"/>
      <c r="CB86" s="243"/>
      <c r="CC86" s="243"/>
      <c r="CD86" s="243"/>
      <c r="CE86" s="243"/>
      <c r="CF86" s="243"/>
      <c r="CG86" s="243"/>
      <c r="CH86" s="243"/>
      <c r="CI86" s="243"/>
      <c r="CJ86" s="256"/>
      <c r="CK86" s="149"/>
      <c r="CL86" s="149"/>
      <c r="CM86" s="149"/>
      <c r="CN86" s="149"/>
      <c r="CO86" s="149"/>
      <c r="CP86" s="149"/>
      <c r="CQ86" s="149"/>
      <c r="CR86" s="149"/>
      <c r="CS86" s="149"/>
      <c r="CT86" s="149"/>
      <c r="CU86" s="149"/>
      <c r="CV86" s="149"/>
      <c r="CW86" s="149"/>
      <c r="CX86" s="149"/>
      <c r="CY86" s="149"/>
      <c r="CZ86" s="149"/>
      <c r="DA86" s="149"/>
      <c r="DB86" s="149"/>
      <c r="DC86" s="248"/>
      <c r="DD86" s="149"/>
      <c r="DE86" s="149"/>
      <c r="DF86" s="149"/>
      <c r="DG86" s="149"/>
      <c r="DH86" s="149"/>
      <c r="DI86" s="149"/>
      <c r="DJ86" s="149"/>
      <c r="DK86" s="149"/>
      <c r="DL86" s="149"/>
      <c r="DM86" s="149"/>
      <c r="DN86" s="149"/>
      <c r="DO86" s="149"/>
    </row>
    <row r="87" spans="1:119" s="6" customFormat="1" ht="11.85" customHeight="1">
      <c r="A87" s="476"/>
      <c r="B87" s="476"/>
      <c r="C87" s="476"/>
      <c r="D87" s="476"/>
      <c r="E87" s="247"/>
      <c r="F87" s="524"/>
      <c r="G87" s="1461"/>
      <c r="H87" s="1462"/>
      <c r="I87" s="1462"/>
      <c r="J87" s="1462"/>
      <c r="K87" s="1462"/>
      <c r="L87" s="1462"/>
      <c r="M87" s="1462"/>
      <c r="N87" s="1463"/>
      <c r="O87" s="1446"/>
      <c r="P87" s="1447"/>
      <c r="Q87" s="1447"/>
      <c r="R87" s="1447"/>
      <c r="S87" s="1448"/>
      <c r="T87" s="525"/>
      <c r="U87" s="257"/>
      <c r="V87" s="149"/>
      <c r="W87" s="149"/>
      <c r="X87" s="149"/>
      <c r="Y87" s="149"/>
      <c r="Z87" s="149"/>
      <c r="AA87" s="149"/>
      <c r="AB87" s="149"/>
      <c r="AC87" s="149"/>
      <c r="AD87" s="149"/>
      <c r="AE87" s="149"/>
      <c r="AF87" s="149"/>
      <c r="AG87" s="149"/>
      <c r="AH87" s="149"/>
      <c r="AI87" s="149"/>
      <c r="AJ87" s="149"/>
      <c r="AK87" s="149"/>
      <c r="AL87" s="248"/>
      <c r="AM87" s="149"/>
      <c r="AN87" s="149"/>
      <c r="AO87" s="149"/>
      <c r="AP87" s="149"/>
      <c r="AQ87" s="149"/>
      <c r="AR87" s="149"/>
      <c r="AS87" s="149"/>
      <c r="AT87" s="149"/>
      <c r="AU87" s="149"/>
      <c r="AV87" s="149"/>
      <c r="AW87" s="149"/>
      <c r="AX87" s="149"/>
      <c r="AY87" s="149"/>
      <c r="AZ87" s="149"/>
      <c r="BA87" s="149"/>
      <c r="BB87" s="248"/>
      <c r="BC87" s="149"/>
      <c r="BD87" s="149"/>
      <c r="BE87" s="248"/>
      <c r="BF87" s="248"/>
      <c r="BG87" s="248"/>
      <c r="BH87" s="248"/>
      <c r="BI87" s="248"/>
      <c r="BJ87" s="248"/>
      <c r="BK87" s="248"/>
      <c r="BL87" s="248"/>
      <c r="BM87" s="248"/>
      <c r="BN87" s="248"/>
      <c r="BO87" s="248"/>
      <c r="BP87" s="248"/>
      <c r="BQ87" s="248"/>
      <c r="BR87" s="248"/>
      <c r="BS87" s="248"/>
      <c r="BT87" s="256"/>
      <c r="BU87" s="801"/>
      <c r="BV87" s="243"/>
      <c r="BW87" s="243"/>
      <c r="BX87" s="243"/>
      <c r="BY87" s="243"/>
      <c r="BZ87" s="243"/>
      <c r="CA87" s="243"/>
      <c r="CB87" s="243"/>
      <c r="CC87" s="243"/>
      <c r="CD87" s="243"/>
      <c r="CE87" s="243"/>
      <c r="CF87" s="243"/>
      <c r="CG87" s="243"/>
      <c r="CH87" s="243"/>
      <c r="CI87" s="243"/>
      <c r="CJ87" s="256"/>
      <c r="CK87" s="149"/>
      <c r="CL87" s="149"/>
      <c r="CM87" s="149"/>
      <c r="CN87" s="149"/>
      <c r="CO87" s="149"/>
      <c r="CP87" s="149"/>
      <c r="CQ87" s="149"/>
      <c r="CR87" s="149"/>
      <c r="CS87" s="149"/>
      <c r="CT87" s="149"/>
      <c r="CU87" s="149"/>
      <c r="CV87" s="149"/>
      <c r="CW87" s="149"/>
      <c r="CX87" s="149"/>
      <c r="CY87" s="149"/>
      <c r="CZ87" s="149"/>
      <c r="DA87" s="149"/>
      <c r="DB87" s="149"/>
      <c r="DC87" s="248"/>
      <c r="DD87" s="149"/>
      <c r="DE87" s="149"/>
      <c r="DF87" s="149"/>
      <c r="DG87" s="149"/>
      <c r="DH87" s="149"/>
      <c r="DI87" s="149"/>
      <c r="DJ87" s="149"/>
      <c r="DK87" s="149"/>
      <c r="DL87" s="149"/>
      <c r="DM87" s="149"/>
      <c r="DN87" s="149"/>
      <c r="DO87" s="149"/>
    </row>
    <row r="88" spans="1:119" s="6" customFormat="1" ht="2.4500000000000002" customHeight="1" thickBot="1">
      <c r="A88" s="476"/>
      <c r="B88" s="476"/>
      <c r="C88" s="476"/>
      <c r="D88" s="476"/>
      <c r="E88" s="247"/>
      <c r="F88" s="524"/>
      <c r="G88" s="1464"/>
      <c r="H88" s="1465"/>
      <c r="I88" s="1465"/>
      <c r="J88" s="1465"/>
      <c r="K88" s="1465"/>
      <c r="L88" s="1465"/>
      <c r="M88" s="1465"/>
      <c r="N88" s="1466"/>
      <c r="O88" s="1449"/>
      <c r="P88" s="1450"/>
      <c r="Q88" s="1450"/>
      <c r="R88" s="1450"/>
      <c r="S88" s="1451"/>
      <c r="T88" s="525"/>
      <c r="U88" s="257"/>
      <c r="V88" s="149"/>
      <c r="W88" s="149"/>
      <c r="X88" s="149"/>
      <c r="Y88" s="149"/>
      <c r="Z88" s="149"/>
      <c r="AA88" s="149"/>
      <c r="AB88" s="149"/>
      <c r="AC88" s="149"/>
      <c r="AD88" s="149"/>
      <c r="AE88" s="149"/>
      <c r="AF88" s="149"/>
      <c r="AG88" s="149"/>
      <c r="AH88" s="149"/>
      <c r="AI88" s="149"/>
      <c r="AJ88" s="149"/>
      <c r="AK88" s="149"/>
      <c r="AL88" s="248"/>
      <c r="AM88" s="149"/>
      <c r="AN88" s="149"/>
      <c r="AO88" s="149"/>
      <c r="AP88" s="149"/>
      <c r="AQ88" s="149"/>
      <c r="AR88" s="149"/>
      <c r="AS88" s="149"/>
      <c r="AT88" s="149"/>
      <c r="AU88" s="149"/>
      <c r="AV88" s="149"/>
      <c r="AW88" s="149"/>
      <c r="AX88" s="149"/>
      <c r="AY88" s="149"/>
      <c r="AZ88" s="149"/>
      <c r="BA88" s="149"/>
      <c r="BB88" s="248"/>
      <c r="BC88" s="149"/>
      <c r="BD88" s="149"/>
      <c r="BE88" s="248"/>
      <c r="BF88" s="248"/>
      <c r="BG88" s="248"/>
      <c r="BH88" s="248"/>
      <c r="BI88" s="248"/>
      <c r="BJ88" s="248"/>
      <c r="BK88" s="248"/>
      <c r="BL88" s="248"/>
      <c r="BM88" s="248"/>
      <c r="BN88" s="248"/>
      <c r="BO88" s="248"/>
      <c r="BP88" s="248"/>
      <c r="BQ88" s="248"/>
      <c r="BR88" s="248"/>
      <c r="BS88" s="248"/>
      <c r="BT88" s="256"/>
      <c r="BU88" s="801"/>
      <c r="BV88" s="256"/>
      <c r="BW88" s="256"/>
      <c r="BX88" s="256"/>
      <c r="BY88" s="256"/>
      <c r="BZ88" s="256"/>
      <c r="CA88" s="256"/>
      <c r="CB88" s="256"/>
      <c r="CC88" s="256"/>
      <c r="CD88" s="256"/>
      <c r="CE88" s="256"/>
      <c r="CF88" s="256"/>
      <c r="CG88" s="256"/>
      <c r="CH88" s="256"/>
      <c r="CI88" s="256"/>
      <c r="CJ88" s="256"/>
      <c r="CK88" s="149"/>
      <c r="CL88" s="149"/>
      <c r="CM88" s="149"/>
      <c r="CN88" s="149"/>
      <c r="CO88" s="149"/>
      <c r="CP88" s="149"/>
      <c r="CQ88" s="149"/>
      <c r="CR88" s="149"/>
      <c r="CS88" s="149"/>
      <c r="CT88" s="149"/>
      <c r="CU88" s="149"/>
      <c r="CV88" s="149"/>
      <c r="CW88" s="149"/>
      <c r="CX88" s="149"/>
      <c r="CY88" s="149"/>
      <c r="CZ88" s="149"/>
      <c r="DA88" s="149"/>
      <c r="DB88" s="149"/>
      <c r="DC88" s="248"/>
      <c r="DD88" s="149"/>
      <c r="DE88" s="149"/>
      <c r="DF88" s="149"/>
      <c r="DG88" s="149"/>
      <c r="DH88" s="149"/>
      <c r="DI88" s="149"/>
      <c r="DJ88" s="149"/>
      <c r="DK88" s="149"/>
      <c r="DL88" s="149"/>
      <c r="DM88" s="149"/>
      <c r="DN88" s="149"/>
      <c r="DO88" s="149"/>
    </row>
    <row r="89" spans="1:119" s="6" customFormat="1" ht="11.85" customHeight="1" thickTop="1">
      <c r="A89" s="476"/>
      <c r="B89" s="476"/>
      <c r="C89" s="476"/>
      <c r="D89" s="476"/>
      <c r="E89" s="524"/>
      <c r="F89" s="524"/>
      <c r="G89" s="524"/>
      <c r="H89" s="524"/>
      <c r="I89" s="524"/>
      <c r="J89" s="524"/>
      <c r="K89" s="524"/>
      <c r="L89" s="524"/>
      <c r="M89" s="524"/>
      <c r="N89" s="524"/>
      <c r="O89" s="524"/>
      <c r="P89" s="524"/>
      <c r="Q89" s="524"/>
      <c r="R89" s="524"/>
      <c r="S89" s="637" t="s">
        <v>332</v>
      </c>
      <c r="T89" s="524"/>
      <c r="U89" s="257"/>
      <c r="V89" s="149"/>
      <c r="W89" s="149"/>
      <c r="X89" s="149"/>
      <c r="Y89" s="149"/>
      <c r="Z89" s="149"/>
      <c r="AA89" s="149"/>
      <c r="AB89" s="149"/>
      <c r="AC89" s="149"/>
      <c r="AD89" s="149"/>
      <c r="AE89" s="149"/>
      <c r="AF89" s="149"/>
      <c r="AG89" s="149"/>
      <c r="AH89" s="149"/>
      <c r="AI89" s="149"/>
      <c r="AJ89" s="149"/>
      <c r="AK89" s="149"/>
      <c r="AL89" s="248"/>
      <c r="AM89" s="149"/>
      <c r="AN89" s="149"/>
      <c r="AO89" s="149"/>
      <c r="AP89" s="149"/>
      <c r="AQ89" s="149"/>
      <c r="AR89" s="149"/>
      <c r="AS89" s="149"/>
      <c r="AT89" s="149"/>
      <c r="AU89" s="149"/>
      <c r="AV89" s="149"/>
      <c r="AW89" s="149"/>
      <c r="AX89" s="149"/>
      <c r="AY89" s="149"/>
      <c r="AZ89" s="149"/>
      <c r="BA89" s="149"/>
      <c r="BB89" s="248"/>
      <c r="BC89" s="149"/>
      <c r="BD89" s="149"/>
      <c r="BE89" s="248"/>
      <c r="BF89" s="248"/>
      <c r="BG89" s="248"/>
      <c r="BH89" s="248"/>
      <c r="BI89" s="248"/>
      <c r="BJ89" s="248"/>
      <c r="BK89" s="248"/>
      <c r="BL89" s="248"/>
      <c r="BM89" s="248"/>
      <c r="BN89" s="248"/>
      <c r="BO89" s="248"/>
      <c r="BP89" s="248"/>
      <c r="BQ89" s="248"/>
      <c r="BR89" s="248"/>
      <c r="BS89" s="248"/>
      <c r="BT89" s="256"/>
      <c r="BU89" s="801"/>
      <c r="BV89" s="256"/>
      <c r="BW89" s="256"/>
      <c r="BX89" s="256"/>
      <c r="BY89" s="256"/>
      <c r="BZ89" s="256"/>
      <c r="CA89" s="256"/>
      <c r="CB89" s="256"/>
      <c r="CC89" s="256"/>
      <c r="CD89" s="256"/>
      <c r="CE89" s="256"/>
      <c r="CF89" s="256"/>
      <c r="CG89" s="256"/>
      <c r="CH89" s="256"/>
      <c r="CI89" s="256"/>
      <c r="CJ89" s="256"/>
      <c r="CK89" s="149"/>
      <c r="CL89" s="149"/>
      <c r="CM89" s="149"/>
      <c r="CN89" s="149"/>
      <c r="CO89" s="149"/>
      <c r="CP89" s="149"/>
      <c r="CQ89" s="149"/>
      <c r="CR89" s="149"/>
      <c r="CS89" s="149"/>
      <c r="CT89" s="149"/>
      <c r="CU89" s="149"/>
      <c r="CV89" s="149"/>
      <c r="CW89" s="149"/>
      <c r="CX89" s="149"/>
      <c r="CY89" s="149"/>
      <c r="CZ89" s="149"/>
      <c r="DA89" s="149"/>
      <c r="DB89" s="149"/>
      <c r="DC89" s="248"/>
      <c r="DD89" s="149"/>
      <c r="DE89" s="149"/>
      <c r="DF89" s="149"/>
      <c r="DG89" s="149"/>
      <c r="DH89" s="149"/>
      <c r="DI89" s="149"/>
      <c r="DJ89" s="149"/>
      <c r="DK89" s="149"/>
      <c r="DL89" s="149"/>
      <c r="DM89" s="149"/>
      <c r="DN89" s="149"/>
      <c r="DO89" s="149"/>
    </row>
    <row r="90" spans="1:119" s="6" customFormat="1" ht="2.4500000000000002" customHeight="1">
      <c r="A90" s="476"/>
      <c r="B90" s="476"/>
      <c r="C90" s="476"/>
      <c r="D90" s="476"/>
      <c r="E90" s="524"/>
      <c r="F90" s="524"/>
      <c r="G90" s="524"/>
      <c r="H90" s="524"/>
      <c r="I90" s="524"/>
      <c r="J90" s="524"/>
      <c r="K90" s="524"/>
      <c r="L90" s="524"/>
      <c r="M90" s="524"/>
      <c r="N90" s="524"/>
      <c r="O90" s="524"/>
      <c r="P90" s="524"/>
      <c r="Q90" s="524"/>
      <c r="R90" s="524"/>
      <c r="S90" s="637"/>
      <c r="T90" s="524"/>
      <c r="U90" s="257"/>
      <c r="V90" s="149"/>
      <c r="W90" s="149"/>
      <c r="X90" s="149"/>
      <c r="Y90" s="149"/>
      <c r="Z90" s="149"/>
      <c r="AA90" s="149"/>
      <c r="AB90" s="149"/>
      <c r="AC90" s="149"/>
      <c r="AD90" s="149"/>
      <c r="AE90" s="149"/>
      <c r="AF90" s="149"/>
      <c r="AG90" s="149"/>
      <c r="AH90" s="149"/>
      <c r="AI90" s="149"/>
      <c r="AJ90" s="149"/>
      <c r="AK90" s="149"/>
      <c r="AL90" s="248"/>
      <c r="AM90" s="149"/>
      <c r="AN90" s="149"/>
      <c r="AO90" s="149"/>
      <c r="AP90" s="149"/>
      <c r="AQ90" s="149"/>
      <c r="AR90" s="149"/>
      <c r="AS90" s="149"/>
      <c r="AT90" s="149"/>
      <c r="AU90" s="149"/>
      <c r="AV90" s="149"/>
      <c r="AW90" s="149"/>
      <c r="AX90" s="149"/>
      <c r="AY90" s="149"/>
      <c r="AZ90" s="149"/>
      <c r="BA90" s="149"/>
      <c r="BB90" s="248"/>
      <c r="BC90" s="149"/>
      <c r="BD90" s="149"/>
      <c r="BE90" s="248"/>
      <c r="BF90" s="248"/>
      <c r="BG90" s="248"/>
      <c r="BH90" s="248"/>
      <c r="BI90" s="248"/>
      <c r="BJ90" s="248"/>
      <c r="BK90" s="248"/>
      <c r="BL90" s="248"/>
      <c r="BM90" s="248"/>
      <c r="BN90" s="248"/>
      <c r="BO90" s="248"/>
      <c r="BP90" s="248"/>
      <c r="BQ90" s="248"/>
      <c r="BR90" s="248"/>
      <c r="BS90" s="248"/>
      <c r="BT90" s="256"/>
      <c r="BU90" s="801"/>
      <c r="BV90" s="256"/>
      <c r="BW90" s="256"/>
      <c r="BX90" s="256"/>
      <c r="BY90" s="256"/>
      <c r="BZ90" s="256"/>
      <c r="CA90" s="256"/>
      <c r="CB90" s="256"/>
      <c r="CC90" s="256"/>
      <c r="CD90" s="256"/>
      <c r="CE90" s="256"/>
      <c r="CF90" s="256"/>
      <c r="CG90" s="256"/>
      <c r="CH90" s="256"/>
      <c r="CI90" s="256"/>
      <c r="CJ90" s="256"/>
      <c r="CK90" s="149"/>
      <c r="CL90" s="149"/>
      <c r="CM90" s="149"/>
      <c r="CN90" s="149"/>
      <c r="CO90" s="149"/>
      <c r="CP90" s="149"/>
      <c r="CQ90" s="149"/>
      <c r="CR90" s="149"/>
      <c r="CS90" s="149"/>
      <c r="CT90" s="149"/>
      <c r="CU90" s="149"/>
      <c r="CV90" s="149"/>
      <c r="CW90" s="149"/>
      <c r="CX90" s="149"/>
      <c r="CY90" s="149"/>
      <c r="CZ90" s="149"/>
      <c r="DA90" s="149"/>
      <c r="DB90" s="149"/>
      <c r="DC90" s="248"/>
      <c r="DD90" s="149"/>
      <c r="DE90" s="149"/>
      <c r="DF90" s="149"/>
      <c r="DG90" s="149"/>
      <c r="DH90" s="149"/>
      <c r="DI90" s="149"/>
      <c r="DJ90" s="149"/>
      <c r="DK90" s="149"/>
      <c r="DL90" s="149"/>
      <c r="DM90" s="149"/>
      <c r="DN90" s="149"/>
      <c r="DO90" s="149"/>
    </row>
    <row r="91" spans="1:119" s="6" customFormat="1" ht="11.85" customHeight="1">
      <c r="A91" s="476"/>
      <c r="B91" s="476"/>
      <c r="C91" s="476"/>
      <c r="D91" s="476"/>
      <c r="E91" s="524"/>
      <c r="F91" s="524"/>
      <c r="G91" s="524"/>
      <c r="H91" s="524"/>
      <c r="I91" s="524"/>
      <c r="J91" s="524"/>
      <c r="K91" s="524"/>
      <c r="L91" s="524"/>
      <c r="M91" s="524"/>
      <c r="N91" s="524"/>
      <c r="O91" s="524"/>
      <c r="P91" s="524"/>
      <c r="Q91" s="524"/>
      <c r="R91" s="524"/>
      <c r="S91" s="524"/>
      <c r="T91" s="524"/>
      <c r="U91" s="257"/>
      <c r="V91" s="149"/>
      <c r="W91" s="149"/>
      <c r="X91" s="149"/>
      <c r="Y91" s="149"/>
      <c r="Z91" s="149"/>
      <c r="AA91" s="149"/>
      <c r="AB91" s="149"/>
      <c r="AC91" s="149"/>
      <c r="AD91" s="149"/>
      <c r="AE91" s="149"/>
      <c r="AF91" s="149"/>
      <c r="AG91" s="149"/>
      <c r="AH91" s="149"/>
      <c r="AI91" s="149"/>
      <c r="AJ91" s="149"/>
      <c r="AK91" s="149"/>
      <c r="AL91" s="248"/>
      <c r="AM91" s="149"/>
      <c r="AN91" s="149"/>
      <c r="AO91" s="149"/>
      <c r="AP91" s="149"/>
      <c r="AQ91" s="149"/>
      <c r="AR91" s="149"/>
      <c r="AS91" s="149"/>
      <c r="AT91" s="149"/>
      <c r="AU91" s="149"/>
      <c r="AV91" s="149"/>
      <c r="AW91" s="149"/>
      <c r="AX91" s="149"/>
      <c r="AY91" s="149"/>
      <c r="AZ91" s="149"/>
      <c r="BA91" s="149"/>
      <c r="BB91" s="248"/>
      <c r="BC91" s="149"/>
      <c r="BD91" s="149"/>
      <c r="BE91" s="248"/>
      <c r="BF91" s="248"/>
      <c r="BG91" s="248"/>
      <c r="BH91" s="248"/>
      <c r="BI91" s="248"/>
      <c r="BJ91" s="248"/>
      <c r="BK91" s="248"/>
      <c r="BL91" s="248"/>
      <c r="BM91" s="248"/>
      <c r="BN91" s="248"/>
      <c r="BO91" s="248"/>
      <c r="BP91" s="248"/>
      <c r="BQ91" s="248"/>
      <c r="BR91" s="248"/>
      <c r="BS91" s="248"/>
      <c r="BT91" s="256"/>
      <c r="BU91" s="801"/>
      <c r="BV91" s="256"/>
      <c r="BW91" s="256"/>
      <c r="BX91" s="256"/>
      <c r="BY91" s="256"/>
      <c r="BZ91" s="256"/>
      <c r="CA91" s="256"/>
      <c r="CB91" s="256"/>
      <c r="CC91" s="256"/>
      <c r="CD91" s="256"/>
      <c r="CE91" s="256"/>
      <c r="CF91" s="256"/>
      <c r="CG91" s="256"/>
      <c r="CH91" s="256"/>
      <c r="CI91" s="256"/>
      <c r="CJ91" s="256"/>
      <c r="CK91" s="149"/>
      <c r="CL91" s="149"/>
      <c r="CM91" s="149"/>
      <c r="CN91" s="149"/>
      <c r="CO91" s="149"/>
      <c r="CP91" s="149"/>
      <c r="CQ91" s="149"/>
      <c r="CR91" s="149"/>
      <c r="CS91" s="149"/>
      <c r="CT91" s="149"/>
      <c r="CU91" s="149"/>
      <c r="CV91" s="149"/>
      <c r="CW91" s="149"/>
      <c r="CX91" s="149"/>
      <c r="CY91" s="149"/>
      <c r="CZ91" s="149"/>
      <c r="DA91" s="149"/>
      <c r="DB91" s="149"/>
      <c r="DC91" s="248"/>
      <c r="DD91" s="149"/>
      <c r="DE91" s="149"/>
      <c r="DF91" s="149"/>
      <c r="DG91" s="149"/>
      <c r="DH91" s="149"/>
      <c r="DI91" s="149"/>
      <c r="DJ91" s="149"/>
      <c r="DK91" s="149"/>
      <c r="DL91" s="149"/>
      <c r="DM91" s="149"/>
      <c r="DN91" s="149"/>
      <c r="DO91" s="149"/>
    </row>
    <row r="92" spans="1:119" s="6" customFormat="1" ht="2.4500000000000002" customHeight="1">
      <c r="A92" s="476"/>
      <c r="B92" s="476"/>
      <c r="C92" s="476"/>
      <c r="D92" s="476"/>
      <c r="E92" s="524"/>
      <c r="F92" s="524"/>
      <c r="G92" s="524"/>
      <c r="H92" s="524"/>
      <c r="I92" s="524"/>
      <c r="J92" s="524"/>
      <c r="K92" s="524"/>
      <c r="L92" s="524"/>
      <c r="M92" s="524"/>
      <c r="N92" s="524"/>
      <c r="O92" s="524"/>
      <c r="P92" s="524"/>
      <c r="Q92" s="524"/>
      <c r="R92" s="524"/>
      <c r="S92" s="524"/>
      <c r="T92" s="524"/>
      <c r="U92" s="257"/>
      <c r="V92" s="149"/>
      <c r="W92" s="149"/>
      <c r="X92" s="149"/>
      <c r="Y92" s="149"/>
      <c r="Z92" s="149"/>
      <c r="AA92" s="149"/>
      <c r="AB92" s="149"/>
      <c r="AC92" s="149"/>
      <c r="AD92" s="149"/>
      <c r="AE92" s="149"/>
      <c r="AF92" s="149"/>
      <c r="AG92" s="149"/>
      <c r="AH92" s="149"/>
      <c r="AI92" s="149"/>
      <c r="AJ92" s="149"/>
      <c r="AK92" s="149"/>
      <c r="AL92" s="248"/>
      <c r="AM92" s="149"/>
      <c r="AN92" s="149"/>
      <c r="AO92" s="149"/>
      <c r="AP92" s="149"/>
      <c r="AQ92" s="149"/>
      <c r="AR92" s="149"/>
      <c r="AS92" s="149"/>
      <c r="AT92" s="149"/>
      <c r="AU92" s="149"/>
      <c r="AV92" s="149"/>
      <c r="AW92" s="149"/>
      <c r="AX92" s="149"/>
      <c r="AY92" s="149"/>
      <c r="AZ92" s="149"/>
      <c r="BA92" s="149"/>
      <c r="BB92" s="248"/>
      <c r="BC92" s="149"/>
      <c r="BD92" s="149"/>
      <c r="BE92" s="248"/>
      <c r="BF92" s="248"/>
      <c r="BG92" s="248"/>
      <c r="BH92" s="248"/>
      <c r="BI92" s="248"/>
      <c r="BJ92" s="248"/>
      <c r="BK92" s="248"/>
      <c r="BL92" s="248"/>
      <c r="BM92" s="248"/>
      <c r="BN92" s="248"/>
      <c r="BO92" s="248"/>
      <c r="BP92" s="248"/>
      <c r="BQ92" s="248"/>
      <c r="BR92" s="248"/>
      <c r="BS92" s="248"/>
      <c r="BT92" s="256"/>
      <c r="BU92" s="801"/>
      <c r="BV92" s="256"/>
      <c r="BW92" s="256"/>
      <c r="BX92" s="256"/>
      <c r="BY92" s="256"/>
      <c r="BZ92" s="256"/>
      <c r="CA92" s="256"/>
      <c r="CB92" s="256"/>
      <c r="CC92" s="256"/>
      <c r="CD92" s="256"/>
      <c r="CE92" s="256"/>
      <c r="CF92" s="256"/>
      <c r="CG92" s="256"/>
      <c r="CH92" s="256"/>
      <c r="CI92" s="256"/>
      <c r="CJ92" s="256"/>
      <c r="CK92" s="149"/>
      <c r="CL92" s="149"/>
      <c r="CM92" s="149"/>
      <c r="CN92" s="149"/>
      <c r="CO92" s="149"/>
      <c r="CP92" s="149"/>
      <c r="CQ92" s="149"/>
      <c r="CR92" s="149"/>
      <c r="CS92" s="149"/>
      <c r="CT92" s="149"/>
      <c r="CU92" s="149"/>
      <c r="CV92" s="149"/>
      <c r="CW92" s="149"/>
      <c r="CX92" s="149"/>
      <c r="CY92" s="149"/>
      <c r="CZ92" s="149"/>
      <c r="DA92" s="149"/>
      <c r="DB92" s="149"/>
      <c r="DC92" s="248"/>
      <c r="DD92" s="149"/>
      <c r="DE92" s="149"/>
      <c r="DF92" s="149"/>
      <c r="DG92" s="149"/>
      <c r="DH92" s="149"/>
      <c r="DI92" s="149"/>
      <c r="DJ92" s="149"/>
      <c r="DK92" s="149"/>
      <c r="DL92" s="149"/>
      <c r="DM92" s="149"/>
      <c r="DN92" s="149"/>
      <c r="DO92" s="149"/>
    </row>
    <row r="93" spans="1:119" s="6" customFormat="1" ht="11.85" customHeight="1">
      <c r="A93" s="476"/>
      <c r="B93" s="476"/>
      <c r="C93" s="476"/>
      <c r="D93" s="476"/>
      <c r="E93" s="524"/>
      <c r="F93" s="524"/>
      <c r="G93" s="524"/>
      <c r="H93" s="524"/>
      <c r="I93" s="524"/>
      <c r="J93" s="524"/>
      <c r="K93" s="524"/>
      <c r="L93" s="524"/>
      <c r="M93" s="524"/>
      <c r="N93" s="524"/>
      <c r="O93" s="524"/>
      <c r="P93" s="524"/>
      <c r="Q93" s="524"/>
      <c r="R93" s="524"/>
      <c r="S93" s="524"/>
      <c r="T93" s="524"/>
      <c r="U93" s="257"/>
      <c r="V93" s="149"/>
      <c r="W93" s="149"/>
      <c r="X93" s="149"/>
      <c r="Y93" s="149"/>
      <c r="Z93" s="149"/>
      <c r="AA93" s="149"/>
      <c r="AB93" s="149"/>
      <c r="AC93" s="149"/>
      <c r="AD93" s="149"/>
      <c r="AE93" s="149"/>
      <c r="AF93" s="149"/>
      <c r="AG93" s="149"/>
      <c r="AH93" s="149"/>
      <c r="AI93" s="149"/>
      <c r="AJ93" s="149"/>
      <c r="AK93" s="149"/>
      <c r="AL93" s="248"/>
      <c r="AM93" s="149"/>
      <c r="AN93" s="149"/>
      <c r="AO93" s="149"/>
      <c r="AP93" s="149"/>
      <c r="AQ93" s="149"/>
      <c r="AR93" s="149"/>
      <c r="AS93" s="149"/>
      <c r="AT93" s="149"/>
      <c r="AU93" s="149"/>
      <c r="AV93" s="149"/>
      <c r="AW93" s="149"/>
      <c r="AX93" s="149"/>
      <c r="AY93" s="149"/>
      <c r="AZ93" s="149"/>
      <c r="BA93" s="149"/>
      <c r="BB93" s="248"/>
      <c r="BC93" s="149"/>
      <c r="BD93" s="149"/>
      <c r="BE93" s="248"/>
      <c r="BF93" s="248"/>
      <c r="BG93" s="248"/>
      <c r="BH93" s="248"/>
      <c r="BI93" s="248"/>
      <c r="BJ93" s="248"/>
      <c r="BK93" s="248"/>
      <c r="BL93" s="248"/>
      <c r="BM93" s="248"/>
      <c r="BN93" s="248"/>
      <c r="BO93" s="248"/>
      <c r="BP93" s="248"/>
      <c r="BQ93" s="248"/>
      <c r="BR93" s="248"/>
      <c r="BS93" s="248"/>
      <c r="BT93" s="256"/>
      <c r="BU93" s="801"/>
      <c r="BV93" s="256"/>
      <c r="BW93" s="256"/>
      <c r="BX93" s="256"/>
      <c r="BY93" s="256"/>
      <c r="BZ93" s="256"/>
      <c r="CA93" s="256"/>
      <c r="CB93" s="256"/>
      <c r="CC93" s="256"/>
      <c r="CD93" s="256"/>
      <c r="CE93" s="256"/>
      <c r="CF93" s="256"/>
      <c r="CG93" s="256"/>
      <c r="CH93" s="256"/>
      <c r="CI93" s="256"/>
      <c r="CJ93" s="256"/>
      <c r="CK93" s="149"/>
      <c r="CL93" s="149"/>
      <c r="CM93" s="149"/>
      <c r="CN93" s="149"/>
      <c r="CO93" s="149"/>
      <c r="CP93" s="149"/>
      <c r="CQ93" s="149"/>
      <c r="CR93" s="149"/>
      <c r="CS93" s="149"/>
      <c r="CT93" s="149"/>
      <c r="CU93" s="149"/>
      <c r="CV93" s="149"/>
      <c r="CW93" s="149"/>
      <c r="CX93" s="149"/>
      <c r="CY93" s="149"/>
      <c r="CZ93" s="149"/>
      <c r="DA93" s="149"/>
      <c r="DB93" s="149"/>
      <c r="DC93" s="248"/>
      <c r="DD93" s="149"/>
      <c r="DE93" s="149"/>
      <c r="DF93" s="149"/>
      <c r="DG93" s="149"/>
      <c r="DH93" s="149"/>
      <c r="DI93" s="149"/>
      <c r="DJ93" s="149"/>
      <c r="DK93" s="149"/>
      <c r="DL93" s="149"/>
      <c r="DM93" s="149"/>
      <c r="DN93" s="149"/>
      <c r="DO93" s="149"/>
    </row>
    <row r="94" spans="1:119" s="6" customFormat="1" ht="2.4500000000000002" customHeight="1">
      <c r="A94" s="476"/>
      <c r="B94" s="476"/>
      <c r="C94" s="476"/>
      <c r="D94" s="476"/>
      <c r="E94" s="524"/>
      <c r="F94" s="524"/>
      <c r="G94" s="524"/>
      <c r="H94" s="524"/>
      <c r="I94" s="524"/>
      <c r="J94" s="524"/>
      <c r="K94" s="524"/>
      <c r="L94" s="524"/>
      <c r="M94" s="524"/>
      <c r="N94" s="524"/>
      <c r="O94" s="524"/>
      <c r="P94" s="524"/>
      <c r="Q94" s="524"/>
      <c r="R94" s="524"/>
      <c r="S94" s="524"/>
      <c r="T94" s="524"/>
      <c r="U94" s="257"/>
      <c r="V94" s="149"/>
      <c r="W94" s="149"/>
      <c r="X94" s="149"/>
      <c r="Y94" s="149"/>
      <c r="Z94" s="149"/>
      <c r="AA94" s="149"/>
      <c r="AB94" s="149"/>
      <c r="AC94" s="149"/>
      <c r="AD94" s="149"/>
      <c r="AE94" s="149"/>
      <c r="AF94" s="149"/>
      <c r="AG94" s="149"/>
      <c r="AH94" s="149"/>
      <c r="AI94" s="149"/>
      <c r="AJ94" s="149"/>
      <c r="AK94" s="149"/>
      <c r="AL94" s="248"/>
      <c r="AM94" s="149"/>
      <c r="AN94" s="149"/>
      <c r="AO94" s="149"/>
      <c r="AP94" s="149"/>
      <c r="AQ94" s="149"/>
      <c r="AR94" s="149"/>
      <c r="AS94" s="149"/>
      <c r="AT94" s="149"/>
      <c r="AU94" s="149"/>
      <c r="AV94" s="149"/>
      <c r="AW94" s="149"/>
      <c r="AX94" s="149"/>
      <c r="AY94" s="149"/>
      <c r="AZ94" s="149"/>
      <c r="BA94" s="149"/>
      <c r="BB94" s="248"/>
      <c r="BC94" s="149"/>
      <c r="BD94" s="149"/>
      <c r="BE94" s="248"/>
      <c r="BF94" s="248"/>
      <c r="BG94" s="248"/>
      <c r="BH94" s="248"/>
      <c r="BI94" s="248"/>
      <c r="BJ94" s="248"/>
      <c r="BK94" s="248"/>
      <c r="BL94" s="248"/>
      <c r="BM94" s="248"/>
      <c r="BN94" s="248"/>
      <c r="BO94" s="248"/>
      <c r="BP94" s="248"/>
      <c r="BQ94" s="248"/>
      <c r="BR94" s="248"/>
      <c r="BS94" s="248"/>
      <c r="BT94" s="256"/>
      <c r="BU94" s="801"/>
      <c r="BV94" s="256"/>
      <c r="BW94" s="256"/>
      <c r="BX94" s="256"/>
      <c r="BY94" s="256"/>
      <c r="BZ94" s="256"/>
      <c r="CA94" s="256"/>
      <c r="CB94" s="256"/>
      <c r="CC94" s="256"/>
      <c r="CD94" s="256"/>
      <c r="CE94" s="256"/>
      <c r="CF94" s="256"/>
      <c r="CG94" s="256"/>
      <c r="CH94" s="256"/>
      <c r="CI94" s="256"/>
      <c r="CJ94" s="256"/>
      <c r="CK94" s="149"/>
      <c r="CL94" s="149"/>
      <c r="CM94" s="149"/>
      <c r="CN94" s="149"/>
      <c r="CO94" s="149"/>
      <c r="CP94" s="149"/>
      <c r="CQ94" s="149"/>
      <c r="CR94" s="149"/>
      <c r="CS94" s="149"/>
      <c r="CT94" s="149"/>
      <c r="CU94" s="149"/>
      <c r="CV94" s="149"/>
      <c r="CW94" s="149"/>
      <c r="CX94" s="149"/>
      <c r="CY94" s="149"/>
      <c r="CZ94" s="149"/>
      <c r="DA94" s="149"/>
      <c r="DB94" s="149"/>
      <c r="DC94" s="248"/>
      <c r="DD94" s="149"/>
      <c r="DE94" s="149"/>
      <c r="DF94" s="149"/>
      <c r="DG94" s="149"/>
      <c r="DH94" s="149"/>
      <c r="DI94" s="149"/>
      <c r="DJ94" s="149"/>
      <c r="DK94" s="149"/>
      <c r="DL94" s="149"/>
      <c r="DM94" s="149"/>
      <c r="DN94" s="149"/>
      <c r="DO94" s="149"/>
    </row>
    <row r="95" spans="1:119" s="6" customFormat="1" ht="11.85" customHeight="1">
      <c r="A95" s="476"/>
      <c r="B95" s="476"/>
      <c r="C95" s="476"/>
      <c r="D95" s="476"/>
      <c r="E95" s="524"/>
      <c r="F95" s="524"/>
      <c r="G95" s="524"/>
      <c r="H95" s="524"/>
      <c r="I95" s="524"/>
      <c r="J95" s="524"/>
      <c r="K95" s="524"/>
      <c r="L95" s="524"/>
      <c r="M95" s="524"/>
      <c r="N95" s="524"/>
      <c r="O95" s="524"/>
      <c r="P95" s="524"/>
      <c r="Q95" s="524"/>
      <c r="R95" s="524"/>
      <c r="S95" s="524"/>
      <c r="T95" s="524"/>
      <c r="U95" s="257"/>
      <c r="V95" s="149"/>
      <c r="W95" s="149"/>
      <c r="X95" s="149"/>
      <c r="Y95" s="149"/>
      <c r="Z95" s="149"/>
      <c r="AA95" s="149"/>
      <c r="AB95" s="149"/>
      <c r="AC95" s="149"/>
      <c r="AD95" s="149"/>
      <c r="AE95" s="149"/>
      <c r="AF95" s="149"/>
      <c r="AG95" s="149"/>
      <c r="AH95" s="149"/>
      <c r="AI95" s="149"/>
      <c r="AJ95" s="149"/>
      <c r="AK95" s="149"/>
      <c r="AL95" s="248"/>
      <c r="AM95" s="149"/>
      <c r="AN95" s="149"/>
      <c r="AO95" s="149"/>
      <c r="AP95" s="149"/>
      <c r="AQ95" s="149"/>
      <c r="AR95" s="149"/>
      <c r="AS95" s="149"/>
      <c r="AT95" s="149"/>
      <c r="AU95" s="149"/>
      <c r="AV95" s="149"/>
      <c r="AW95" s="149"/>
      <c r="AX95" s="149"/>
      <c r="AY95" s="149"/>
      <c r="AZ95" s="149"/>
      <c r="BA95" s="149"/>
      <c r="BB95" s="248"/>
      <c r="BC95" s="149"/>
      <c r="BD95" s="149"/>
      <c r="BE95" s="248"/>
      <c r="BF95" s="248"/>
      <c r="BG95" s="248"/>
      <c r="BH95" s="248"/>
      <c r="BI95" s="248"/>
      <c r="BJ95" s="248"/>
      <c r="BK95" s="248"/>
      <c r="BL95" s="248"/>
      <c r="BM95" s="248"/>
      <c r="BN95" s="248"/>
      <c r="BO95" s="248"/>
      <c r="BP95" s="248"/>
      <c r="BQ95" s="248"/>
      <c r="BR95" s="248"/>
      <c r="BS95" s="248"/>
      <c r="BT95" s="256"/>
      <c r="BU95" s="801"/>
      <c r="BV95" s="256"/>
      <c r="BW95" s="256"/>
      <c r="BX95" s="256"/>
      <c r="BY95" s="256"/>
      <c r="BZ95" s="256"/>
      <c r="CA95" s="256"/>
      <c r="CB95" s="256"/>
      <c r="CC95" s="256"/>
      <c r="CD95" s="256"/>
      <c r="CE95" s="256"/>
      <c r="CF95" s="256"/>
      <c r="CG95" s="256"/>
      <c r="CH95" s="256"/>
      <c r="CI95" s="256"/>
      <c r="CJ95" s="256"/>
      <c r="CK95" s="149"/>
      <c r="CL95" s="149"/>
      <c r="CM95" s="149"/>
      <c r="CN95" s="149"/>
      <c r="CO95" s="149"/>
      <c r="CP95" s="149"/>
      <c r="CQ95" s="149"/>
      <c r="CR95" s="149"/>
      <c r="CS95" s="149"/>
      <c r="CT95" s="149"/>
      <c r="CU95" s="149"/>
      <c r="CV95" s="149"/>
      <c r="CW95" s="149"/>
      <c r="CX95" s="149"/>
      <c r="CY95" s="149"/>
      <c r="CZ95" s="149"/>
      <c r="DA95" s="149"/>
      <c r="DB95" s="149"/>
      <c r="DC95" s="248"/>
      <c r="DD95" s="149"/>
      <c r="DE95" s="149"/>
      <c r="DF95" s="149"/>
      <c r="DG95" s="149"/>
      <c r="DH95" s="149"/>
      <c r="DI95" s="149"/>
      <c r="DJ95" s="149"/>
      <c r="DK95" s="149"/>
      <c r="DL95" s="149"/>
      <c r="DM95" s="149"/>
      <c r="DN95" s="149"/>
      <c r="DO95" s="149"/>
    </row>
    <row r="96" spans="1:119" s="6" customFormat="1" ht="2.4500000000000002" customHeight="1">
      <c r="A96" s="476"/>
      <c r="B96" s="476"/>
      <c r="C96" s="476"/>
      <c r="D96" s="476"/>
      <c r="E96" s="524"/>
      <c r="F96" s="524"/>
      <c r="G96" s="524"/>
      <c r="H96" s="524"/>
      <c r="I96" s="524"/>
      <c r="J96" s="524"/>
      <c r="K96" s="524"/>
      <c r="L96" s="524"/>
      <c r="M96" s="524"/>
      <c r="N96" s="524"/>
      <c r="O96" s="524"/>
      <c r="P96" s="524"/>
      <c r="Q96" s="524"/>
      <c r="R96" s="524"/>
      <c r="S96" s="524"/>
      <c r="T96" s="524"/>
      <c r="U96" s="257"/>
      <c r="V96" s="149"/>
      <c r="W96" s="149"/>
      <c r="X96" s="149"/>
      <c r="Y96" s="149"/>
      <c r="Z96" s="149"/>
      <c r="AA96" s="149"/>
      <c r="AB96" s="149"/>
      <c r="AC96" s="149"/>
      <c r="AD96" s="149"/>
      <c r="AE96" s="149"/>
      <c r="AF96" s="149"/>
      <c r="AG96" s="149"/>
      <c r="AH96" s="149"/>
      <c r="AI96" s="149"/>
      <c r="AJ96" s="149"/>
      <c r="AK96" s="149"/>
      <c r="AL96" s="248"/>
      <c r="AM96" s="149"/>
      <c r="AN96" s="149"/>
      <c r="AO96" s="149"/>
      <c r="AP96" s="149"/>
      <c r="AQ96" s="149"/>
      <c r="AR96" s="149"/>
      <c r="AS96" s="149"/>
      <c r="AT96" s="149"/>
      <c r="AU96" s="149"/>
      <c r="AV96" s="149"/>
      <c r="AW96" s="149"/>
      <c r="AX96" s="149"/>
      <c r="AY96" s="149"/>
      <c r="AZ96" s="149"/>
      <c r="BA96" s="149"/>
      <c r="BB96" s="248"/>
      <c r="BC96" s="149"/>
      <c r="BD96" s="149"/>
      <c r="BE96" s="248"/>
      <c r="BF96" s="248"/>
      <c r="BG96" s="248"/>
      <c r="BH96" s="248"/>
      <c r="BI96" s="248"/>
      <c r="BJ96" s="248"/>
      <c r="BK96" s="248"/>
      <c r="BL96" s="248"/>
      <c r="BM96" s="248"/>
      <c r="BN96" s="248"/>
      <c r="BO96" s="248"/>
      <c r="BP96" s="248"/>
      <c r="BQ96" s="248"/>
      <c r="BR96" s="248"/>
      <c r="BS96" s="248"/>
      <c r="BT96" s="256"/>
      <c r="BU96" s="801"/>
      <c r="BV96" s="256"/>
      <c r="BW96" s="256"/>
      <c r="BX96" s="256"/>
      <c r="BY96" s="256"/>
      <c r="BZ96" s="256"/>
      <c r="CA96" s="256"/>
      <c r="CB96" s="256"/>
      <c r="CC96" s="256"/>
      <c r="CD96" s="256"/>
      <c r="CE96" s="256"/>
      <c r="CF96" s="256"/>
      <c r="CG96" s="256"/>
      <c r="CH96" s="256"/>
      <c r="CI96" s="256"/>
      <c r="CJ96" s="256"/>
      <c r="CK96" s="149"/>
      <c r="CL96" s="149"/>
      <c r="CM96" s="149"/>
      <c r="CN96" s="149"/>
      <c r="CO96" s="149"/>
      <c r="CP96" s="149"/>
      <c r="CQ96" s="149"/>
      <c r="CR96" s="149"/>
      <c r="CS96" s="149"/>
      <c r="CT96" s="149"/>
      <c r="CU96" s="149"/>
      <c r="CV96" s="149"/>
      <c r="CW96" s="149"/>
      <c r="CX96" s="149"/>
      <c r="CY96" s="149"/>
      <c r="CZ96" s="149"/>
      <c r="DA96" s="149"/>
      <c r="DB96" s="149"/>
      <c r="DC96" s="248"/>
      <c r="DD96" s="149"/>
      <c r="DE96" s="149"/>
      <c r="DF96" s="149"/>
      <c r="DG96" s="149"/>
      <c r="DH96" s="149"/>
      <c r="DI96" s="149"/>
      <c r="DJ96" s="149"/>
      <c r="DK96" s="149"/>
      <c r="DL96" s="149"/>
      <c r="DM96" s="149"/>
      <c r="DN96" s="149"/>
      <c r="DO96" s="149"/>
    </row>
    <row r="97" spans="1:119" s="6" customFormat="1" ht="11.85" customHeight="1">
      <c r="A97" s="476"/>
      <c r="B97" s="476"/>
      <c r="C97" s="476"/>
      <c r="D97" s="476"/>
      <c r="E97" s="524"/>
      <c r="F97" s="524"/>
      <c r="G97" s="524"/>
      <c r="H97" s="524"/>
      <c r="I97" s="524"/>
      <c r="J97" s="524"/>
      <c r="K97" s="524"/>
      <c r="L97" s="524"/>
      <c r="M97" s="524"/>
      <c r="N97" s="524"/>
      <c r="O97" s="524"/>
      <c r="P97" s="524"/>
      <c r="Q97" s="524"/>
      <c r="R97" s="524"/>
      <c r="S97" s="524"/>
      <c r="T97" s="524"/>
      <c r="U97" s="257"/>
      <c r="V97" s="149"/>
      <c r="W97" s="149"/>
      <c r="X97" s="149"/>
      <c r="Y97" s="149"/>
      <c r="Z97" s="149"/>
      <c r="AA97" s="149"/>
      <c r="AB97" s="149"/>
      <c r="AC97" s="149"/>
      <c r="AD97" s="149"/>
      <c r="AE97" s="149"/>
      <c r="AF97" s="149"/>
      <c r="AG97" s="149"/>
      <c r="AH97" s="149"/>
      <c r="AI97" s="149"/>
      <c r="AJ97" s="149"/>
      <c r="AK97" s="149"/>
      <c r="AL97" s="248"/>
      <c r="AM97" s="149"/>
      <c r="AN97" s="149"/>
      <c r="AO97" s="149"/>
      <c r="AP97" s="149"/>
      <c r="AQ97" s="149"/>
      <c r="AR97" s="149"/>
      <c r="AS97" s="149"/>
      <c r="AT97" s="149"/>
      <c r="AU97" s="149"/>
      <c r="AV97" s="149"/>
      <c r="AW97" s="149"/>
      <c r="AX97" s="149"/>
      <c r="AY97" s="149"/>
      <c r="AZ97" s="149"/>
      <c r="BA97" s="149"/>
      <c r="BB97" s="248"/>
      <c r="BC97" s="149"/>
      <c r="BD97" s="149"/>
      <c r="BE97" s="248"/>
      <c r="BF97" s="248"/>
      <c r="BG97" s="248"/>
      <c r="BH97" s="248"/>
      <c r="BI97" s="248"/>
      <c r="BJ97" s="248"/>
      <c r="BK97" s="248"/>
      <c r="BL97" s="248"/>
      <c r="BM97" s="248"/>
      <c r="BN97" s="248"/>
      <c r="BO97" s="248"/>
      <c r="BP97" s="248"/>
      <c r="BQ97" s="248"/>
      <c r="BR97" s="248"/>
      <c r="BS97" s="248"/>
      <c r="BT97" s="256"/>
      <c r="BU97" s="801"/>
      <c r="BV97" s="256"/>
      <c r="BW97" s="256"/>
      <c r="BX97" s="256"/>
      <c r="BY97" s="256"/>
      <c r="BZ97" s="256"/>
      <c r="CA97" s="256"/>
      <c r="CB97" s="256"/>
      <c r="CC97" s="256"/>
      <c r="CD97" s="256"/>
      <c r="CE97" s="256"/>
      <c r="CF97" s="256"/>
      <c r="CG97" s="256"/>
      <c r="CH97" s="256"/>
      <c r="CI97" s="256"/>
      <c r="CJ97" s="256"/>
      <c r="CK97" s="149"/>
      <c r="CL97" s="149"/>
      <c r="CM97" s="149"/>
      <c r="CN97" s="149"/>
      <c r="CO97" s="149"/>
      <c r="CP97" s="149"/>
      <c r="CQ97" s="149"/>
      <c r="CR97" s="149"/>
      <c r="CS97" s="149"/>
      <c r="CT97" s="149"/>
      <c r="CU97" s="149"/>
      <c r="CV97" s="149"/>
      <c r="CW97" s="149"/>
      <c r="CX97" s="149"/>
      <c r="CY97" s="149"/>
      <c r="CZ97" s="149"/>
      <c r="DA97" s="149"/>
      <c r="DB97" s="149"/>
      <c r="DC97" s="248"/>
      <c r="DD97" s="149"/>
      <c r="DE97" s="149"/>
      <c r="DF97" s="149"/>
      <c r="DG97" s="149"/>
      <c r="DH97" s="149"/>
      <c r="DI97" s="149"/>
      <c r="DJ97" s="149"/>
      <c r="DK97" s="149"/>
      <c r="DL97" s="149"/>
      <c r="DM97" s="149"/>
      <c r="DN97" s="149"/>
      <c r="DO97" s="149"/>
    </row>
    <row r="98" spans="1:119" s="6" customFormat="1" ht="2.4500000000000002" customHeight="1">
      <c r="A98" s="476"/>
      <c r="B98" s="476"/>
      <c r="C98" s="476"/>
      <c r="D98" s="476"/>
      <c r="E98" s="524"/>
      <c r="F98" s="524"/>
      <c r="G98" s="524"/>
      <c r="H98" s="524"/>
      <c r="I98" s="524"/>
      <c r="J98" s="524"/>
      <c r="K98" s="524"/>
      <c r="L98" s="524"/>
      <c r="M98" s="524"/>
      <c r="N98" s="524"/>
      <c r="O98" s="524"/>
      <c r="P98" s="524"/>
      <c r="Q98" s="524"/>
      <c r="R98" s="524"/>
      <c r="S98" s="524"/>
      <c r="T98" s="524"/>
      <c r="U98" s="257"/>
      <c r="V98" s="149"/>
      <c r="W98" s="149"/>
      <c r="X98" s="149"/>
      <c r="Y98" s="149"/>
      <c r="Z98" s="149"/>
      <c r="AA98" s="149"/>
      <c r="AB98" s="149"/>
      <c r="AC98" s="149"/>
      <c r="AD98" s="149"/>
      <c r="AE98" s="149"/>
      <c r="AF98" s="149"/>
      <c r="AG98" s="149"/>
      <c r="AH98" s="149"/>
      <c r="AI98" s="149"/>
      <c r="AJ98" s="149"/>
      <c r="AK98" s="149"/>
      <c r="AL98" s="248"/>
      <c r="AM98" s="149"/>
      <c r="AN98" s="149"/>
      <c r="AO98" s="149"/>
      <c r="AP98" s="149"/>
      <c r="AQ98" s="149"/>
      <c r="AR98" s="149"/>
      <c r="AS98" s="149"/>
      <c r="AT98" s="149"/>
      <c r="AU98" s="149"/>
      <c r="AV98" s="149"/>
      <c r="AW98" s="149"/>
      <c r="AX98" s="149"/>
      <c r="AY98" s="149"/>
      <c r="AZ98" s="149"/>
      <c r="BA98" s="149"/>
      <c r="BB98" s="248"/>
      <c r="BC98" s="149"/>
      <c r="BD98" s="149"/>
      <c r="BE98" s="248"/>
      <c r="BF98" s="248"/>
      <c r="BG98" s="248"/>
      <c r="BH98" s="248"/>
      <c r="BI98" s="248"/>
      <c r="BJ98" s="248"/>
      <c r="BK98" s="248"/>
      <c r="BL98" s="248"/>
      <c r="BM98" s="248"/>
      <c r="BN98" s="248"/>
      <c r="BO98" s="248"/>
      <c r="BP98" s="248"/>
      <c r="BQ98" s="248"/>
      <c r="BR98" s="248"/>
      <c r="BS98" s="248"/>
      <c r="BT98" s="256"/>
      <c r="BU98" s="801"/>
      <c r="BV98" s="256"/>
      <c r="BW98" s="256"/>
      <c r="BX98" s="256"/>
      <c r="BY98" s="256"/>
      <c r="BZ98" s="256"/>
      <c r="CA98" s="256"/>
      <c r="CB98" s="256"/>
      <c r="CC98" s="256"/>
      <c r="CD98" s="256"/>
      <c r="CE98" s="256"/>
      <c r="CF98" s="256"/>
      <c r="CG98" s="256"/>
      <c r="CH98" s="256"/>
      <c r="CI98" s="256"/>
      <c r="CJ98" s="256"/>
      <c r="CK98" s="149"/>
      <c r="CL98" s="149"/>
      <c r="CM98" s="149"/>
      <c r="CN98" s="149"/>
      <c r="CO98" s="149"/>
      <c r="CP98" s="149"/>
      <c r="CQ98" s="149"/>
      <c r="CR98" s="149"/>
      <c r="CS98" s="149"/>
      <c r="CT98" s="149"/>
      <c r="CU98" s="149"/>
      <c r="CV98" s="149"/>
      <c r="CW98" s="149"/>
      <c r="CX98" s="149"/>
      <c r="CY98" s="149"/>
      <c r="CZ98" s="149"/>
      <c r="DA98" s="149"/>
      <c r="DB98" s="149"/>
      <c r="DC98" s="248"/>
      <c r="DD98" s="149"/>
      <c r="DE98" s="149"/>
      <c r="DF98" s="149"/>
      <c r="DG98" s="149"/>
      <c r="DH98" s="149"/>
      <c r="DI98" s="149"/>
      <c r="DJ98" s="149"/>
      <c r="DK98" s="149"/>
      <c r="DL98" s="149"/>
      <c r="DM98" s="149"/>
      <c r="DN98" s="149"/>
      <c r="DO98" s="149"/>
    </row>
    <row r="99" spans="1:119" s="6" customFormat="1" ht="11.85" customHeight="1">
      <c r="A99" s="476"/>
      <c r="B99" s="476"/>
      <c r="C99" s="476"/>
      <c r="D99" s="476"/>
      <c r="E99" s="524"/>
      <c r="F99" s="524"/>
      <c r="G99" s="524"/>
      <c r="H99" s="524"/>
      <c r="I99" s="524"/>
      <c r="J99" s="524"/>
      <c r="K99" s="524"/>
      <c r="L99" s="524"/>
      <c r="M99" s="524"/>
      <c r="N99" s="524"/>
      <c r="O99" s="524"/>
      <c r="P99" s="524"/>
      <c r="Q99" s="524"/>
      <c r="R99" s="524"/>
      <c r="S99" s="524"/>
      <c r="T99" s="524"/>
      <c r="U99" s="257"/>
      <c r="V99" s="149"/>
      <c r="W99" s="149"/>
      <c r="X99" s="149"/>
      <c r="Y99" s="149"/>
      <c r="Z99" s="149"/>
      <c r="AA99" s="149"/>
      <c r="AB99" s="149"/>
      <c r="AC99" s="149"/>
      <c r="AD99" s="149"/>
      <c r="AE99" s="149"/>
      <c r="AF99" s="149"/>
      <c r="AG99" s="149"/>
      <c r="AH99" s="149"/>
      <c r="AI99" s="149"/>
      <c r="AJ99" s="149"/>
      <c r="AK99" s="149"/>
      <c r="AL99" s="248"/>
      <c r="AM99" s="149"/>
      <c r="AN99" s="149"/>
      <c r="AO99" s="149"/>
      <c r="AP99" s="149"/>
      <c r="AQ99" s="149"/>
      <c r="AR99" s="149"/>
      <c r="AS99" s="149"/>
      <c r="AT99" s="149"/>
      <c r="AU99" s="149"/>
      <c r="AV99" s="149"/>
      <c r="AW99" s="149"/>
      <c r="AX99" s="149"/>
      <c r="AY99" s="149"/>
      <c r="AZ99" s="149"/>
      <c r="BA99" s="149"/>
      <c r="BB99" s="248"/>
      <c r="BC99" s="149"/>
      <c r="BD99" s="149"/>
      <c r="BE99" s="149"/>
      <c r="BF99" s="149"/>
      <c r="BG99" s="149"/>
      <c r="BH99" s="149"/>
      <c r="BI99" s="149"/>
      <c r="BJ99" s="149"/>
      <c r="BK99" s="149"/>
      <c r="BL99" s="149"/>
      <c r="BM99" s="149"/>
      <c r="BN99" s="149"/>
      <c r="BO99" s="149"/>
      <c r="BP99" s="149"/>
      <c r="BQ99" s="149"/>
      <c r="BR99" s="149"/>
      <c r="BS99" s="248"/>
      <c r="BT99" s="256"/>
      <c r="BU99" s="801"/>
      <c r="BV99" s="256"/>
      <c r="BW99" s="256"/>
      <c r="BX99" s="256"/>
      <c r="BY99" s="256"/>
      <c r="BZ99" s="256"/>
      <c r="CA99" s="256"/>
      <c r="CB99" s="256"/>
      <c r="CC99" s="256"/>
      <c r="CD99" s="256"/>
      <c r="CE99" s="256"/>
      <c r="CF99" s="256"/>
      <c r="CG99" s="256"/>
      <c r="CH99" s="256"/>
      <c r="CI99" s="256"/>
      <c r="CJ99" s="256"/>
      <c r="CK99" s="149"/>
      <c r="CL99" s="149"/>
      <c r="CM99" s="149"/>
      <c r="CN99" s="149"/>
      <c r="CO99" s="149"/>
      <c r="CP99" s="149"/>
      <c r="CQ99" s="149"/>
      <c r="CR99" s="149"/>
      <c r="CS99" s="149"/>
      <c r="CT99" s="149"/>
      <c r="CU99" s="149"/>
      <c r="CV99" s="149"/>
      <c r="CW99" s="149"/>
      <c r="CX99" s="149"/>
      <c r="CY99" s="149"/>
      <c r="CZ99" s="149"/>
      <c r="DA99" s="149"/>
      <c r="DB99" s="149"/>
      <c r="DC99" s="248"/>
      <c r="DD99" s="149"/>
      <c r="DE99" s="149"/>
      <c r="DF99" s="149"/>
      <c r="DG99" s="149"/>
      <c r="DH99" s="149"/>
      <c r="DI99" s="149"/>
      <c r="DJ99" s="149"/>
      <c r="DK99" s="149"/>
      <c r="DL99" s="149"/>
      <c r="DM99" s="149"/>
      <c r="DN99" s="149"/>
      <c r="DO99" s="149"/>
    </row>
    <row r="100" spans="1:119" s="6" customFormat="1" ht="2.4500000000000002" customHeight="1">
      <c r="A100" s="476"/>
      <c r="B100" s="476"/>
      <c r="C100" s="476"/>
      <c r="D100" s="476"/>
      <c r="E100" s="524"/>
      <c r="F100" s="524"/>
      <c r="G100" s="524"/>
      <c r="H100" s="524"/>
      <c r="I100" s="524"/>
      <c r="J100" s="524"/>
      <c r="K100" s="524"/>
      <c r="L100" s="524"/>
      <c r="M100" s="524"/>
      <c r="N100" s="524"/>
      <c r="O100" s="524"/>
      <c r="P100" s="524"/>
      <c r="Q100" s="524"/>
      <c r="R100" s="524"/>
      <c r="S100" s="524"/>
      <c r="T100" s="524"/>
      <c r="U100" s="257"/>
      <c r="V100" s="149"/>
      <c r="W100" s="149"/>
      <c r="X100" s="149"/>
      <c r="Y100" s="149"/>
      <c r="Z100" s="149"/>
      <c r="AA100" s="149"/>
      <c r="AB100" s="149"/>
      <c r="AC100" s="149"/>
      <c r="AD100" s="149"/>
      <c r="AE100" s="149"/>
      <c r="AF100" s="149"/>
      <c r="AG100" s="149"/>
      <c r="AH100" s="149"/>
      <c r="AI100" s="149"/>
      <c r="AJ100" s="149"/>
      <c r="AK100" s="149"/>
      <c r="AL100" s="248"/>
      <c r="AM100" s="149"/>
      <c r="AN100" s="149"/>
      <c r="AO100" s="149"/>
      <c r="AP100" s="149"/>
      <c r="AQ100" s="149"/>
      <c r="AR100" s="149"/>
      <c r="AS100" s="149"/>
      <c r="AT100" s="149"/>
      <c r="AU100" s="149"/>
      <c r="AV100" s="149"/>
      <c r="AW100" s="149"/>
      <c r="AX100" s="149"/>
      <c r="AY100" s="149"/>
      <c r="AZ100" s="149"/>
      <c r="BA100" s="149"/>
      <c r="BB100" s="248"/>
      <c r="BC100" s="149"/>
      <c r="BD100" s="149"/>
      <c r="BE100" s="149"/>
      <c r="BF100" s="149"/>
      <c r="BG100" s="149"/>
      <c r="BH100" s="149"/>
      <c r="BI100" s="149"/>
      <c r="BJ100" s="149"/>
      <c r="BK100" s="149"/>
      <c r="BL100" s="149"/>
      <c r="BM100" s="149"/>
      <c r="BN100" s="149"/>
      <c r="BO100" s="149"/>
      <c r="BP100" s="149"/>
      <c r="BQ100" s="149"/>
      <c r="BR100" s="149"/>
      <c r="BS100" s="248"/>
      <c r="BT100" s="256"/>
      <c r="BU100" s="801"/>
      <c r="BV100" s="256"/>
      <c r="BW100" s="256"/>
      <c r="BX100" s="256"/>
      <c r="BY100" s="256"/>
      <c r="BZ100" s="256"/>
      <c r="CA100" s="256"/>
      <c r="CB100" s="256"/>
      <c r="CC100" s="256"/>
      <c r="CD100" s="256"/>
      <c r="CE100" s="256"/>
      <c r="CF100" s="256"/>
      <c r="CG100" s="256"/>
      <c r="CH100" s="256"/>
      <c r="CI100" s="256"/>
      <c r="CJ100" s="256"/>
      <c r="CK100" s="149"/>
      <c r="CL100" s="149"/>
      <c r="CM100" s="149"/>
      <c r="CN100" s="149"/>
      <c r="CO100" s="149"/>
      <c r="CP100" s="149"/>
      <c r="CQ100" s="149"/>
      <c r="CR100" s="149"/>
      <c r="CS100" s="149"/>
      <c r="CT100" s="149"/>
      <c r="CU100" s="149"/>
      <c r="CV100" s="149"/>
      <c r="CW100" s="149"/>
      <c r="CX100" s="149"/>
      <c r="CY100" s="149"/>
      <c r="CZ100" s="149"/>
      <c r="DA100" s="149"/>
      <c r="DB100" s="149"/>
      <c r="DC100" s="248"/>
      <c r="DD100" s="149"/>
      <c r="DE100" s="149"/>
      <c r="DF100" s="149"/>
      <c r="DG100" s="149"/>
      <c r="DH100" s="149"/>
      <c r="DI100" s="149"/>
      <c r="DJ100" s="149"/>
      <c r="DK100" s="149"/>
      <c r="DL100" s="149"/>
      <c r="DM100" s="149"/>
      <c r="DN100" s="149"/>
      <c r="DO100" s="149"/>
    </row>
    <row r="101" spans="1:119" s="6" customFormat="1" ht="13.7" customHeight="1">
      <c r="A101" s="476"/>
      <c r="B101" s="476"/>
      <c r="C101" s="476"/>
      <c r="D101" s="476"/>
      <c r="E101" s="524"/>
      <c r="F101" s="524"/>
      <c r="G101" s="524"/>
      <c r="H101" s="524"/>
      <c r="I101" s="524"/>
      <c r="J101" s="524"/>
      <c r="K101" s="524"/>
      <c r="L101" s="524"/>
      <c r="M101" s="524"/>
      <c r="N101" s="524"/>
      <c r="O101" s="524"/>
      <c r="P101" s="524"/>
      <c r="Q101" s="524"/>
      <c r="R101" s="524"/>
      <c r="S101" s="524"/>
      <c r="T101" s="524"/>
      <c r="U101" s="257"/>
      <c r="V101" s="149"/>
      <c r="W101" s="149"/>
      <c r="X101" s="149"/>
      <c r="Y101" s="149"/>
      <c r="Z101" s="149"/>
      <c r="AA101" s="149"/>
      <c r="AB101" s="149"/>
      <c r="AC101" s="149"/>
      <c r="AD101" s="149"/>
      <c r="AE101" s="149"/>
      <c r="AF101" s="149"/>
      <c r="AG101" s="149"/>
      <c r="AH101" s="149"/>
      <c r="AI101" s="149"/>
      <c r="AJ101" s="149"/>
      <c r="AK101" s="149"/>
      <c r="AL101" s="248"/>
      <c r="AM101" s="149"/>
      <c r="AN101" s="149"/>
      <c r="AO101" s="149"/>
      <c r="AP101" s="149"/>
      <c r="AQ101" s="149"/>
      <c r="AR101" s="149"/>
      <c r="AS101" s="149"/>
      <c r="AT101" s="149"/>
      <c r="AU101" s="149"/>
      <c r="AV101" s="149"/>
      <c r="AW101" s="149"/>
      <c r="AX101" s="149"/>
      <c r="AY101" s="149"/>
      <c r="AZ101" s="149"/>
      <c r="BA101" s="149"/>
      <c r="BB101" s="248"/>
      <c r="BC101" s="149"/>
      <c r="BD101" s="149"/>
      <c r="BE101" s="149"/>
      <c r="BF101" s="149"/>
      <c r="BG101" s="149"/>
      <c r="BH101" s="149"/>
      <c r="BI101" s="149"/>
      <c r="BJ101" s="149"/>
      <c r="BK101" s="149"/>
      <c r="BL101" s="149"/>
      <c r="BM101" s="149"/>
      <c r="BN101" s="149"/>
      <c r="BO101" s="149"/>
      <c r="BP101" s="149"/>
      <c r="BQ101" s="149"/>
      <c r="BR101" s="149"/>
      <c r="BS101" s="248"/>
      <c r="BT101" s="256"/>
      <c r="BU101" s="801"/>
      <c r="BV101" s="256"/>
      <c r="BW101" s="256"/>
      <c r="BX101" s="256"/>
      <c r="BY101" s="256"/>
      <c r="BZ101" s="256"/>
      <c r="CA101" s="256"/>
      <c r="CB101" s="256"/>
      <c r="CC101" s="256"/>
      <c r="CD101" s="256"/>
      <c r="CE101" s="256"/>
      <c r="CF101" s="256"/>
      <c r="CG101" s="256"/>
      <c r="CH101" s="256"/>
      <c r="CI101" s="256"/>
      <c r="CJ101" s="256"/>
      <c r="CK101" s="149"/>
      <c r="CL101" s="149"/>
      <c r="CM101" s="149"/>
      <c r="CN101" s="149"/>
      <c r="CO101" s="149"/>
      <c r="CP101" s="149"/>
      <c r="CQ101" s="149"/>
      <c r="CR101" s="149"/>
      <c r="CS101" s="149"/>
      <c r="CT101" s="149"/>
      <c r="CU101" s="149"/>
      <c r="CV101" s="149"/>
      <c r="CW101" s="149"/>
      <c r="CX101" s="149"/>
      <c r="CY101" s="149"/>
      <c r="CZ101" s="149"/>
      <c r="DA101" s="149"/>
      <c r="DB101" s="149"/>
      <c r="DC101" s="248"/>
      <c r="DD101" s="149"/>
      <c r="DE101" s="149"/>
      <c r="DF101" s="149"/>
      <c r="DG101" s="149"/>
      <c r="DH101" s="149"/>
      <c r="DI101" s="149"/>
      <c r="DJ101" s="149"/>
      <c r="DK101" s="149"/>
      <c r="DL101" s="149"/>
      <c r="DM101" s="149"/>
      <c r="DN101" s="149"/>
      <c r="DO101" s="149"/>
    </row>
    <row r="102" spans="1:119" s="6" customFormat="1" ht="13.7" customHeight="1">
      <c r="A102" s="476"/>
      <c r="B102" s="476"/>
      <c r="C102" s="476"/>
      <c r="D102" s="476"/>
      <c r="E102" s="524"/>
      <c r="F102" s="524"/>
      <c r="G102" s="524"/>
      <c r="H102" s="524"/>
      <c r="I102" s="524"/>
      <c r="J102" s="524"/>
      <c r="K102" s="524"/>
      <c r="L102" s="524"/>
      <c r="M102" s="524"/>
      <c r="N102" s="524"/>
      <c r="O102" s="524"/>
      <c r="P102" s="524"/>
      <c r="Q102" s="524"/>
      <c r="R102" s="524"/>
      <c r="S102" s="524"/>
      <c r="T102" s="524"/>
      <c r="U102" s="257"/>
      <c r="V102" s="149"/>
      <c r="W102" s="149"/>
      <c r="X102" s="149"/>
      <c r="Y102" s="149"/>
      <c r="Z102" s="149"/>
      <c r="AA102" s="149"/>
      <c r="AB102" s="149"/>
      <c r="AC102" s="149"/>
      <c r="AD102" s="149"/>
      <c r="AE102" s="149"/>
      <c r="AF102" s="149"/>
      <c r="AG102" s="149"/>
      <c r="AH102" s="149"/>
      <c r="AI102" s="149"/>
      <c r="AJ102" s="149"/>
      <c r="AK102" s="149"/>
      <c r="AL102" s="248"/>
      <c r="AM102" s="149"/>
      <c r="AN102" s="149"/>
      <c r="AO102" s="149"/>
      <c r="AP102" s="149"/>
      <c r="AQ102" s="149"/>
      <c r="AR102" s="149"/>
      <c r="AS102" s="149"/>
      <c r="AT102" s="149"/>
      <c r="AU102" s="149"/>
      <c r="AV102" s="149"/>
      <c r="AW102" s="149"/>
      <c r="AX102" s="149"/>
      <c r="AY102" s="149"/>
      <c r="AZ102" s="149"/>
      <c r="BA102" s="149"/>
      <c r="BB102" s="248"/>
      <c r="BC102" s="149"/>
      <c r="BD102" s="149"/>
      <c r="BE102" s="149"/>
      <c r="BF102" s="149"/>
      <c r="BG102" s="149"/>
      <c r="BH102" s="149"/>
      <c r="BI102" s="149"/>
      <c r="BJ102" s="149"/>
      <c r="BK102" s="149"/>
      <c r="BL102" s="149"/>
      <c r="BM102" s="149"/>
      <c r="BN102" s="149"/>
      <c r="BO102" s="149"/>
      <c r="BP102" s="149"/>
      <c r="BQ102" s="149"/>
      <c r="BR102" s="149"/>
      <c r="BS102" s="248"/>
      <c r="BT102" s="256"/>
      <c r="BU102" s="801"/>
      <c r="BV102" s="256"/>
      <c r="BW102" s="256"/>
      <c r="BX102" s="256"/>
      <c r="BY102" s="256"/>
      <c r="BZ102" s="256"/>
      <c r="CA102" s="256"/>
      <c r="CB102" s="256"/>
      <c r="CC102" s="256"/>
      <c r="CD102" s="256"/>
      <c r="CE102" s="256"/>
      <c r="CF102" s="256"/>
      <c r="CG102" s="256"/>
      <c r="CH102" s="256"/>
      <c r="CI102" s="256"/>
      <c r="CJ102" s="256"/>
      <c r="CK102" s="149"/>
      <c r="CL102" s="149"/>
      <c r="CM102" s="149"/>
      <c r="CN102" s="149"/>
      <c r="CO102" s="149"/>
      <c r="CP102" s="149"/>
      <c r="CQ102" s="149"/>
      <c r="CR102" s="149"/>
      <c r="CS102" s="149"/>
      <c r="CT102" s="149"/>
      <c r="CU102" s="149"/>
      <c r="CV102" s="149"/>
      <c r="CW102" s="149"/>
      <c r="CX102" s="149"/>
      <c r="CY102" s="149"/>
      <c r="CZ102" s="149"/>
      <c r="DA102" s="149"/>
      <c r="DB102" s="149"/>
      <c r="DC102" s="248"/>
      <c r="DD102" s="149"/>
      <c r="DE102" s="149"/>
      <c r="DF102" s="149"/>
      <c r="DG102" s="149"/>
      <c r="DH102" s="149"/>
      <c r="DI102" s="149"/>
      <c r="DJ102" s="149"/>
      <c r="DK102" s="149"/>
      <c r="DL102" s="149"/>
      <c r="DM102" s="149"/>
      <c r="DN102" s="149"/>
      <c r="DO102" s="149"/>
    </row>
    <row r="103" spans="1:119" s="6" customFormat="1" ht="13.7" customHeight="1">
      <c r="A103" s="476"/>
      <c r="B103" s="476"/>
      <c r="C103" s="476"/>
      <c r="D103" s="476"/>
      <c r="E103" s="524"/>
      <c r="F103" s="524"/>
      <c r="G103" s="524"/>
      <c r="H103" s="524"/>
      <c r="I103" s="524"/>
      <c r="J103" s="524"/>
      <c r="K103" s="524"/>
      <c r="L103" s="524"/>
      <c r="M103" s="524"/>
      <c r="N103" s="524"/>
      <c r="O103" s="524"/>
      <c r="P103" s="524"/>
      <c r="Q103" s="524"/>
      <c r="R103" s="524"/>
      <c r="S103" s="524"/>
      <c r="T103" s="524"/>
      <c r="U103" s="257"/>
      <c r="V103" s="149"/>
      <c r="W103" s="149"/>
      <c r="X103" s="149"/>
      <c r="Y103" s="149"/>
      <c r="Z103" s="149"/>
      <c r="AA103" s="149"/>
      <c r="AB103" s="149"/>
      <c r="AC103" s="149"/>
      <c r="AD103" s="149"/>
      <c r="AE103" s="149"/>
      <c r="AF103" s="149"/>
      <c r="AG103" s="149"/>
      <c r="AH103" s="149"/>
      <c r="AI103" s="149"/>
      <c r="AJ103" s="149"/>
      <c r="AK103" s="149"/>
      <c r="AL103" s="248"/>
      <c r="AM103" s="149"/>
      <c r="AN103" s="149"/>
      <c r="AO103" s="149"/>
      <c r="AP103" s="149"/>
      <c r="AQ103" s="149"/>
      <c r="AR103" s="149"/>
      <c r="AS103" s="149"/>
      <c r="AT103" s="149"/>
      <c r="AU103" s="149"/>
      <c r="AV103" s="149"/>
      <c r="AW103" s="149"/>
      <c r="AX103" s="149"/>
      <c r="AY103" s="149"/>
      <c r="AZ103" s="149"/>
      <c r="BA103" s="149"/>
      <c r="BB103" s="248"/>
      <c r="BC103" s="149"/>
      <c r="BD103" s="149"/>
      <c r="BE103" s="149"/>
      <c r="BF103" s="149"/>
      <c r="BG103" s="149"/>
      <c r="BH103" s="149"/>
      <c r="BI103" s="149"/>
      <c r="BJ103" s="149"/>
      <c r="BK103" s="149"/>
      <c r="BL103" s="149"/>
      <c r="BM103" s="149"/>
      <c r="BN103" s="149"/>
      <c r="BO103" s="149"/>
      <c r="BP103" s="149"/>
      <c r="BQ103" s="149"/>
      <c r="BR103" s="149"/>
      <c r="BS103" s="248"/>
      <c r="BT103" s="256"/>
      <c r="BU103" s="801"/>
      <c r="BV103" s="256"/>
      <c r="BW103" s="256"/>
      <c r="BX103" s="256"/>
      <c r="BY103" s="256"/>
      <c r="BZ103" s="256"/>
      <c r="CA103" s="256"/>
      <c r="CB103" s="256"/>
      <c r="CC103" s="256"/>
      <c r="CD103" s="256"/>
      <c r="CE103" s="256"/>
      <c r="CF103" s="256"/>
      <c r="CG103" s="256"/>
      <c r="CH103" s="256"/>
      <c r="CI103" s="256"/>
      <c r="CJ103" s="256"/>
      <c r="CK103" s="149"/>
      <c r="CL103" s="149"/>
      <c r="CM103" s="149"/>
      <c r="CN103" s="149"/>
      <c r="CO103" s="149"/>
      <c r="CP103" s="149"/>
      <c r="CQ103" s="149"/>
      <c r="CR103" s="149"/>
      <c r="CS103" s="149"/>
      <c r="CT103" s="149"/>
      <c r="CU103" s="149"/>
      <c r="CV103" s="149"/>
      <c r="CW103" s="149"/>
      <c r="CX103" s="149"/>
      <c r="CY103" s="149"/>
      <c r="CZ103" s="149"/>
      <c r="DA103" s="149"/>
      <c r="DB103" s="149"/>
      <c r="DC103" s="248"/>
      <c r="DD103" s="149"/>
      <c r="DE103" s="149"/>
      <c r="DF103" s="149"/>
      <c r="DG103" s="149"/>
      <c r="DH103" s="149"/>
      <c r="DI103" s="149"/>
      <c r="DJ103" s="149"/>
      <c r="DK103" s="149"/>
      <c r="DL103" s="149"/>
      <c r="DM103" s="149"/>
      <c r="DN103" s="149"/>
      <c r="DO103" s="149"/>
    </row>
    <row r="104" spans="1:119" s="6" customFormat="1" ht="13.7" customHeight="1">
      <c r="A104" s="476"/>
      <c r="B104" s="476"/>
      <c r="C104" s="476"/>
      <c r="D104" s="476"/>
      <c r="E104" s="524"/>
      <c r="F104" s="524"/>
      <c r="G104" s="524"/>
      <c r="H104" s="524"/>
      <c r="I104" s="524"/>
      <c r="J104" s="524"/>
      <c r="K104" s="524"/>
      <c r="L104" s="524"/>
      <c r="M104" s="524"/>
      <c r="N104" s="524"/>
      <c r="O104" s="524"/>
      <c r="P104" s="524"/>
      <c r="Q104" s="524"/>
      <c r="R104" s="524"/>
      <c r="S104" s="524"/>
      <c r="T104" s="524"/>
      <c r="U104" s="257"/>
      <c r="V104" s="149"/>
      <c r="W104" s="149"/>
      <c r="X104" s="149"/>
      <c r="Y104" s="149"/>
      <c r="Z104" s="149"/>
      <c r="AA104" s="149"/>
      <c r="AB104" s="149"/>
      <c r="AC104" s="149"/>
      <c r="AD104" s="149"/>
      <c r="AE104" s="149"/>
      <c r="AF104" s="149"/>
      <c r="AG104" s="149"/>
      <c r="AH104" s="149"/>
      <c r="AI104" s="149"/>
      <c r="AJ104" s="149"/>
      <c r="AK104" s="149"/>
      <c r="AL104" s="248"/>
      <c r="AM104" s="149"/>
      <c r="AN104" s="149"/>
      <c r="AO104" s="149"/>
      <c r="AP104" s="149"/>
      <c r="AQ104" s="149"/>
      <c r="AR104" s="149"/>
      <c r="AS104" s="149"/>
      <c r="AT104" s="149"/>
      <c r="AU104" s="149"/>
      <c r="AV104" s="149"/>
      <c r="AW104" s="149"/>
      <c r="AX104" s="149"/>
      <c r="AY104" s="149"/>
      <c r="AZ104" s="149"/>
      <c r="BA104" s="149"/>
      <c r="BB104" s="248"/>
      <c r="BC104" s="149"/>
      <c r="BD104" s="149"/>
      <c r="BE104" s="149"/>
      <c r="BF104" s="149"/>
      <c r="BG104" s="149"/>
      <c r="BH104" s="149"/>
      <c r="BI104" s="149"/>
      <c r="BJ104" s="149"/>
      <c r="BK104" s="149"/>
      <c r="BL104" s="149"/>
      <c r="BM104" s="149"/>
      <c r="BN104" s="149"/>
      <c r="BO104" s="149"/>
      <c r="BP104" s="149"/>
      <c r="BQ104" s="149"/>
      <c r="BR104" s="149"/>
      <c r="BS104" s="248"/>
      <c r="BT104" s="256"/>
      <c r="BU104" s="801"/>
      <c r="BV104" s="256"/>
      <c r="BW104" s="256"/>
      <c r="BX104" s="256"/>
      <c r="BY104" s="256"/>
      <c r="BZ104" s="256"/>
      <c r="CA104" s="256"/>
      <c r="CB104" s="256"/>
      <c r="CC104" s="256"/>
      <c r="CD104" s="256"/>
      <c r="CE104" s="256"/>
      <c r="CF104" s="256"/>
      <c r="CG104" s="256"/>
      <c r="CH104" s="256"/>
      <c r="CI104" s="256"/>
      <c r="CJ104" s="256"/>
      <c r="CK104" s="149"/>
      <c r="CL104" s="149"/>
      <c r="CM104" s="149"/>
      <c r="CN104" s="149"/>
      <c r="CO104" s="149"/>
      <c r="CP104" s="149"/>
      <c r="CQ104" s="149"/>
      <c r="CR104" s="149"/>
      <c r="CS104" s="149"/>
      <c r="CT104" s="149"/>
      <c r="CU104" s="149"/>
      <c r="CV104" s="149"/>
      <c r="CW104" s="149"/>
      <c r="CX104" s="149"/>
      <c r="CY104" s="149"/>
      <c r="CZ104" s="149"/>
      <c r="DA104" s="149"/>
      <c r="DB104" s="149"/>
      <c r="DC104" s="248"/>
      <c r="DD104" s="149"/>
      <c r="DE104" s="149"/>
      <c r="DF104" s="149"/>
      <c r="DG104" s="149"/>
      <c r="DH104" s="149"/>
      <c r="DI104" s="149"/>
      <c r="DJ104" s="149"/>
      <c r="DK104" s="149"/>
      <c r="DL104" s="149"/>
      <c r="DM104" s="149"/>
      <c r="DN104" s="149"/>
      <c r="DO104" s="149"/>
    </row>
    <row r="105" spans="1:119" s="6" customFormat="1" ht="13.7" customHeight="1">
      <c r="A105" s="476"/>
      <c r="B105" s="476"/>
      <c r="C105" s="476"/>
      <c r="D105" s="476"/>
      <c r="E105" s="524"/>
      <c r="F105" s="524"/>
      <c r="G105" s="524"/>
      <c r="H105" s="524"/>
      <c r="I105" s="524"/>
      <c r="J105" s="524"/>
      <c r="K105" s="524"/>
      <c r="L105" s="524"/>
      <c r="M105" s="524"/>
      <c r="N105" s="524"/>
      <c r="O105" s="524"/>
      <c r="P105" s="524"/>
      <c r="Q105" s="524"/>
      <c r="R105" s="524"/>
      <c r="S105" s="524"/>
      <c r="T105" s="524"/>
      <c r="U105" s="257"/>
      <c r="V105" s="149"/>
      <c r="W105" s="149"/>
      <c r="X105" s="149"/>
      <c r="Y105" s="149"/>
      <c r="Z105" s="149"/>
      <c r="AA105" s="149"/>
      <c r="AB105" s="149"/>
      <c r="AC105" s="149"/>
      <c r="AD105" s="149"/>
      <c r="AE105" s="149"/>
      <c r="AF105" s="149"/>
      <c r="AG105" s="149"/>
      <c r="AH105" s="149"/>
      <c r="AI105" s="149"/>
      <c r="AJ105" s="149"/>
      <c r="AK105" s="149"/>
      <c r="AL105" s="248"/>
      <c r="AM105" s="149"/>
      <c r="AN105" s="149"/>
      <c r="AO105" s="149"/>
      <c r="AP105" s="149"/>
      <c r="AQ105" s="149"/>
      <c r="AR105" s="149"/>
      <c r="AS105" s="149"/>
      <c r="AT105" s="149"/>
      <c r="AU105" s="149"/>
      <c r="AV105" s="149"/>
      <c r="AW105" s="149"/>
      <c r="AX105" s="149"/>
      <c r="AY105" s="149"/>
      <c r="AZ105" s="149"/>
      <c r="BA105" s="149"/>
      <c r="BB105" s="248"/>
      <c r="BC105" s="149"/>
      <c r="BD105" s="149"/>
      <c r="BE105" s="149"/>
      <c r="BF105" s="149"/>
      <c r="BG105" s="149"/>
      <c r="BH105" s="149"/>
      <c r="BI105" s="149"/>
      <c r="BJ105" s="149"/>
      <c r="BK105" s="149"/>
      <c r="BL105" s="149"/>
      <c r="BM105" s="149"/>
      <c r="BN105" s="149"/>
      <c r="BO105" s="149"/>
      <c r="BP105" s="149"/>
      <c r="BQ105" s="149"/>
      <c r="BR105" s="149"/>
      <c r="BS105" s="248"/>
      <c r="BT105" s="248"/>
      <c r="BU105" s="802"/>
      <c r="BV105" s="256"/>
      <c r="BW105" s="256"/>
      <c r="BX105" s="256"/>
      <c r="BY105" s="256"/>
      <c r="BZ105" s="256"/>
      <c r="CA105" s="256"/>
      <c r="CB105" s="256"/>
      <c r="CC105" s="256"/>
      <c r="CD105" s="256"/>
      <c r="CE105" s="256"/>
      <c r="CF105" s="256"/>
      <c r="CG105" s="256"/>
      <c r="CH105" s="256"/>
      <c r="CI105" s="256"/>
      <c r="CJ105" s="248"/>
      <c r="CK105" s="149"/>
      <c r="CL105" s="149"/>
      <c r="CM105" s="149"/>
      <c r="CN105" s="149"/>
      <c r="CO105" s="149"/>
      <c r="CP105" s="149"/>
      <c r="CQ105" s="149"/>
      <c r="CR105" s="149"/>
      <c r="CS105" s="149"/>
      <c r="CT105" s="149"/>
      <c r="CU105" s="149"/>
      <c r="CV105" s="149"/>
      <c r="CW105" s="149"/>
      <c r="CX105" s="149"/>
      <c r="CY105" s="149"/>
      <c r="CZ105" s="149"/>
      <c r="DA105" s="149"/>
      <c r="DB105" s="149"/>
      <c r="DC105" s="248"/>
      <c r="DD105" s="149"/>
      <c r="DE105" s="149"/>
      <c r="DF105" s="149"/>
      <c r="DG105" s="149"/>
      <c r="DH105" s="149"/>
      <c r="DI105" s="149"/>
      <c r="DJ105" s="149"/>
      <c r="DK105" s="149"/>
      <c r="DL105" s="149"/>
      <c r="DM105" s="149"/>
      <c r="DN105" s="149"/>
      <c r="DO105" s="149"/>
    </row>
    <row r="106" spans="1:119" s="6" customFormat="1" ht="13.7" customHeight="1">
      <c r="A106" s="476"/>
      <c r="B106" s="476"/>
      <c r="C106" s="476"/>
      <c r="D106" s="476"/>
      <c r="E106" s="524"/>
      <c r="F106" s="524"/>
      <c r="G106" s="524"/>
      <c r="H106" s="524"/>
      <c r="I106" s="524"/>
      <c r="J106" s="524"/>
      <c r="K106" s="524"/>
      <c r="L106" s="524"/>
      <c r="M106" s="524"/>
      <c r="N106" s="524"/>
      <c r="O106" s="524"/>
      <c r="P106" s="524"/>
      <c r="Q106" s="524"/>
      <c r="R106" s="524"/>
      <c r="S106" s="524"/>
      <c r="T106" s="524"/>
      <c r="U106" s="257"/>
      <c r="V106" s="149"/>
      <c r="W106" s="149"/>
      <c r="X106" s="149"/>
      <c r="Y106" s="149"/>
      <c r="Z106" s="149"/>
      <c r="AA106" s="149"/>
      <c r="AB106" s="149"/>
      <c r="AC106" s="149"/>
      <c r="AD106" s="149"/>
      <c r="AE106" s="149"/>
      <c r="AF106" s="149"/>
      <c r="AG106" s="149"/>
      <c r="AH106" s="149"/>
      <c r="AI106" s="149"/>
      <c r="AJ106" s="149"/>
      <c r="AK106" s="149"/>
      <c r="AL106" s="248"/>
      <c r="AM106" s="149"/>
      <c r="AN106" s="149"/>
      <c r="AO106" s="149"/>
      <c r="AP106" s="149"/>
      <c r="AQ106" s="149"/>
      <c r="AR106" s="149"/>
      <c r="AS106" s="149"/>
      <c r="AT106" s="149"/>
      <c r="AU106" s="149"/>
      <c r="AV106" s="149"/>
      <c r="AW106" s="149"/>
      <c r="AX106" s="149"/>
      <c r="AY106" s="149"/>
      <c r="AZ106" s="149"/>
      <c r="BA106" s="149"/>
      <c r="BB106" s="248"/>
      <c r="BC106" s="149"/>
      <c r="BD106" s="149"/>
      <c r="BE106" s="149"/>
      <c r="BF106" s="149"/>
      <c r="BG106" s="149"/>
      <c r="BH106" s="149"/>
      <c r="BI106" s="149"/>
      <c r="BJ106" s="149"/>
      <c r="BK106" s="149"/>
      <c r="BL106" s="149"/>
      <c r="BM106" s="149"/>
      <c r="BN106" s="149"/>
      <c r="BO106" s="149"/>
      <c r="BP106" s="149"/>
      <c r="BQ106" s="149"/>
      <c r="BR106" s="149"/>
      <c r="BS106" s="248"/>
      <c r="BT106" s="248"/>
      <c r="BU106" s="802"/>
      <c r="BV106" s="256"/>
      <c r="BW106" s="256"/>
      <c r="BX106" s="256"/>
      <c r="BY106" s="256"/>
      <c r="BZ106" s="256"/>
      <c r="CA106" s="256"/>
      <c r="CB106" s="256"/>
      <c r="CC106" s="256"/>
      <c r="CD106" s="256"/>
      <c r="CE106" s="256"/>
      <c r="CF106" s="256"/>
      <c r="CG106" s="256"/>
      <c r="CH106" s="256"/>
      <c r="CI106" s="256"/>
      <c r="CJ106" s="248"/>
      <c r="CK106" s="149"/>
      <c r="CL106" s="149"/>
      <c r="CM106" s="149"/>
      <c r="CN106" s="149"/>
      <c r="CO106" s="149"/>
      <c r="CP106" s="149"/>
      <c r="CQ106" s="149"/>
      <c r="CR106" s="149"/>
      <c r="CS106" s="149"/>
      <c r="CT106" s="149"/>
      <c r="CU106" s="149"/>
      <c r="CV106" s="149"/>
      <c r="CW106" s="149"/>
      <c r="CX106" s="149"/>
      <c r="CY106" s="149"/>
      <c r="CZ106" s="149"/>
      <c r="DA106" s="149"/>
      <c r="DB106" s="149"/>
      <c r="DC106" s="248"/>
      <c r="DD106" s="149"/>
      <c r="DE106" s="149"/>
      <c r="DF106" s="149"/>
      <c r="DG106" s="149"/>
      <c r="DH106" s="149"/>
      <c r="DI106" s="149"/>
      <c r="DJ106" s="149"/>
      <c r="DK106" s="149"/>
      <c r="DL106" s="149"/>
      <c r="DM106" s="149"/>
      <c r="DN106" s="149"/>
      <c r="DO106" s="149"/>
    </row>
    <row r="107" spans="1:119" s="6" customFormat="1" ht="13.7" customHeight="1">
      <c r="A107" s="476"/>
      <c r="B107" s="476"/>
      <c r="C107" s="476"/>
      <c r="D107" s="476"/>
      <c r="E107" s="524"/>
      <c r="F107" s="524"/>
      <c r="G107" s="524"/>
      <c r="H107" s="524"/>
      <c r="I107" s="524"/>
      <c r="J107" s="524"/>
      <c r="K107" s="524"/>
      <c r="L107" s="524"/>
      <c r="M107" s="524"/>
      <c r="N107" s="524"/>
      <c r="O107" s="524"/>
      <c r="P107" s="524"/>
      <c r="Q107" s="524"/>
      <c r="R107" s="524"/>
      <c r="S107" s="524"/>
      <c r="T107" s="524"/>
      <c r="U107" s="257"/>
      <c r="V107" s="149"/>
      <c r="W107" s="149"/>
      <c r="X107" s="149"/>
      <c r="Y107" s="149"/>
      <c r="Z107" s="149"/>
      <c r="AA107" s="149"/>
      <c r="AB107" s="149"/>
      <c r="AC107" s="149"/>
      <c r="AD107" s="149"/>
      <c r="AE107" s="149"/>
      <c r="AF107" s="149"/>
      <c r="AG107" s="149"/>
      <c r="AH107" s="149"/>
      <c r="AI107" s="149"/>
      <c r="AJ107" s="149"/>
      <c r="AK107" s="149"/>
      <c r="AL107" s="248"/>
      <c r="AM107" s="149"/>
      <c r="AN107" s="149"/>
      <c r="AO107" s="149"/>
      <c r="AP107" s="149"/>
      <c r="AQ107" s="149"/>
      <c r="AR107" s="149"/>
      <c r="AS107" s="149"/>
      <c r="AT107" s="149"/>
      <c r="AU107" s="149"/>
      <c r="AV107" s="149"/>
      <c r="AW107" s="149"/>
      <c r="AX107" s="149"/>
      <c r="AY107" s="149"/>
      <c r="AZ107" s="149"/>
      <c r="BA107" s="149"/>
      <c r="BB107" s="248"/>
      <c r="BC107" s="149"/>
      <c r="BD107" s="149"/>
      <c r="BE107" s="149"/>
      <c r="BF107" s="149"/>
      <c r="BG107" s="149"/>
      <c r="BH107" s="149"/>
      <c r="BI107" s="149"/>
      <c r="BJ107" s="149"/>
      <c r="BK107" s="149"/>
      <c r="BL107" s="149"/>
      <c r="BM107" s="149"/>
      <c r="BN107" s="149"/>
      <c r="BO107" s="149"/>
      <c r="BP107" s="149"/>
      <c r="BQ107" s="149"/>
      <c r="BR107" s="149"/>
      <c r="BS107" s="248"/>
      <c r="BT107" s="248"/>
      <c r="BU107" s="802"/>
      <c r="BV107" s="248"/>
      <c r="BW107" s="248"/>
      <c r="BX107" s="248"/>
      <c r="BY107" s="248"/>
      <c r="BZ107" s="248"/>
      <c r="CA107" s="248"/>
      <c r="CB107" s="248"/>
      <c r="CC107" s="248"/>
      <c r="CD107" s="248"/>
      <c r="CE107" s="248"/>
      <c r="CF107" s="248"/>
      <c r="CG107" s="248"/>
      <c r="CH107" s="248"/>
      <c r="CI107" s="248"/>
      <c r="CJ107" s="248"/>
      <c r="CK107" s="149"/>
      <c r="CL107" s="149"/>
      <c r="CM107" s="149"/>
      <c r="CN107" s="149"/>
      <c r="CO107" s="149"/>
      <c r="CP107" s="149"/>
      <c r="CQ107" s="149"/>
      <c r="CR107" s="149"/>
      <c r="CS107" s="149"/>
      <c r="CT107" s="149"/>
      <c r="CU107" s="149"/>
      <c r="CV107" s="149"/>
      <c r="CW107" s="149"/>
      <c r="CX107" s="149"/>
      <c r="CY107" s="149"/>
      <c r="CZ107" s="149"/>
      <c r="DA107" s="149"/>
      <c r="DB107" s="149"/>
      <c r="DC107" s="248"/>
      <c r="DD107" s="149"/>
      <c r="DE107" s="149"/>
      <c r="DF107" s="149"/>
      <c r="DG107" s="149"/>
      <c r="DH107" s="149"/>
      <c r="DI107" s="149"/>
      <c r="DJ107" s="149"/>
      <c r="DK107" s="149"/>
      <c r="DL107" s="149"/>
      <c r="DM107" s="149"/>
      <c r="DN107" s="149"/>
      <c r="DO107" s="149"/>
    </row>
    <row r="108" spans="1:119" s="6" customFormat="1" ht="13.7" customHeight="1">
      <c r="A108" s="476"/>
      <c r="B108" s="476"/>
      <c r="C108" s="476"/>
      <c r="D108" s="476"/>
      <c r="E108" s="524"/>
      <c r="F108" s="524"/>
      <c r="G108" s="524"/>
      <c r="H108" s="524"/>
      <c r="I108" s="524"/>
      <c r="J108" s="524"/>
      <c r="K108" s="524"/>
      <c r="L108" s="524"/>
      <c r="M108" s="524"/>
      <c r="N108" s="524"/>
      <c r="O108" s="524"/>
      <c r="P108" s="524"/>
      <c r="Q108" s="524"/>
      <c r="R108" s="524"/>
      <c r="S108" s="524"/>
      <c r="T108" s="524"/>
      <c r="U108" s="257"/>
      <c r="V108" s="149"/>
      <c r="W108" s="149"/>
      <c r="X108" s="149"/>
      <c r="Y108" s="149"/>
      <c r="Z108" s="149"/>
      <c r="AA108" s="149"/>
      <c r="AB108" s="149"/>
      <c r="AC108" s="149"/>
      <c r="AD108" s="149"/>
      <c r="AE108" s="149"/>
      <c r="AF108" s="149"/>
      <c r="AG108" s="149"/>
      <c r="AH108" s="149"/>
      <c r="AI108" s="248"/>
      <c r="AJ108" s="248"/>
      <c r="AK108" s="248"/>
      <c r="AL108" s="248"/>
      <c r="AM108" s="149"/>
      <c r="AN108" s="149"/>
      <c r="AO108" s="149"/>
      <c r="AP108" s="149"/>
      <c r="AQ108" s="149"/>
      <c r="AR108" s="149"/>
      <c r="AS108" s="149"/>
      <c r="AT108" s="149"/>
      <c r="AU108" s="149"/>
      <c r="AV108" s="149"/>
      <c r="AW108" s="149"/>
      <c r="AX108" s="149"/>
      <c r="AY108" s="149"/>
      <c r="AZ108" s="149"/>
      <c r="BA108" s="149"/>
      <c r="BB108" s="248"/>
      <c r="BC108" s="149"/>
      <c r="BD108" s="149"/>
      <c r="BE108" s="149"/>
      <c r="BF108" s="149"/>
      <c r="BG108" s="149"/>
      <c r="BH108" s="149"/>
      <c r="BI108" s="149"/>
      <c r="BJ108" s="149"/>
      <c r="BK108" s="149"/>
      <c r="BL108" s="149"/>
      <c r="BM108" s="149"/>
      <c r="BN108" s="149"/>
      <c r="BO108" s="149"/>
      <c r="BP108" s="149"/>
      <c r="BQ108" s="149"/>
      <c r="BR108" s="149"/>
      <c r="BS108" s="248"/>
      <c r="BT108" s="248"/>
      <c r="BU108" s="802"/>
      <c r="BV108" s="248"/>
      <c r="BW108" s="248"/>
      <c r="BX108" s="248"/>
      <c r="BY108" s="248"/>
      <c r="BZ108" s="248"/>
      <c r="CA108" s="248"/>
      <c r="CB108" s="248"/>
      <c r="CC108" s="248"/>
      <c r="CD108" s="248"/>
      <c r="CE108" s="248"/>
      <c r="CF108" s="248"/>
      <c r="CG108" s="248"/>
      <c r="CH108" s="248"/>
      <c r="CI108" s="248"/>
      <c r="CJ108" s="248"/>
      <c r="CK108" s="149"/>
      <c r="CL108" s="149"/>
      <c r="CM108" s="149"/>
      <c r="CN108" s="149"/>
      <c r="CO108" s="149"/>
      <c r="CP108" s="149"/>
      <c r="CQ108" s="149"/>
      <c r="CR108" s="149"/>
      <c r="CS108" s="149"/>
      <c r="CT108" s="149"/>
      <c r="CU108" s="149"/>
      <c r="CV108" s="149"/>
      <c r="CW108" s="149"/>
      <c r="CX108" s="149"/>
      <c r="CY108" s="149"/>
      <c r="CZ108" s="149"/>
      <c r="DA108" s="149"/>
      <c r="DB108" s="149"/>
      <c r="DC108" s="248"/>
      <c r="DD108" s="149"/>
      <c r="DE108" s="149"/>
      <c r="DF108" s="149"/>
      <c r="DG108" s="149"/>
      <c r="DH108" s="149"/>
      <c r="DI108" s="149"/>
      <c r="DJ108" s="149"/>
      <c r="DK108" s="149"/>
      <c r="DL108" s="149"/>
      <c r="DM108" s="149"/>
      <c r="DN108" s="149"/>
      <c r="DO108" s="149"/>
    </row>
    <row r="109" spans="1:119" s="6" customFormat="1" ht="13.7" customHeight="1">
      <c r="A109" s="476"/>
      <c r="B109" s="476"/>
      <c r="C109" s="476"/>
      <c r="D109" s="476"/>
      <c r="E109" s="524"/>
      <c r="F109" s="524"/>
      <c r="G109" s="524"/>
      <c r="H109" s="524"/>
      <c r="I109" s="524"/>
      <c r="J109" s="524"/>
      <c r="K109" s="524"/>
      <c r="L109" s="524"/>
      <c r="M109" s="524"/>
      <c r="N109" s="524"/>
      <c r="O109" s="524"/>
      <c r="P109" s="524"/>
      <c r="Q109" s="524"/>
      <c r="R109" s="524"/>
      <c r="S109" s="524"/>
      <c r="T109" s="524"/>
      <c r="U109" s="257"/>
      <c r="V109" s="149"/>
      <c r="W109" s="149"/>
      <c r="X109" s="149"/>
      <c r="Y109" s="149"/>
      <c r="Z109" s="149"/>
      <c r="AA109" s="149"/>
      <c r="AB109" s="149"/>
      <c r="AC109" s="149"/>
      <c r="AD109" s="149"/>
      <c r="AE109" s="149"/>
      <c r="AF109" s="149"/>
      <c r="AG109" s="149"/>
      <c r="AH109" s="149"/>
      <c r="AI109" s="248"/>
      <c r="AJ109" s="248"/>
      <c r="AK109" s="248"/>
      <c r="AL109" s="248"/>
      <c r="AM109" s="149"/>
      <c r="AN109" s="149"/>
      <c r="AO109" s="149"/>
      <c r="AP109" s="149"/>
      <c r="AQ109" s="149"/>
      <c r="AR109" s="149"/>
      <c r="AS109" s="149"/>
      <c r="AT109" s="149"/>
      <c r="AU109" s="149"/>
      <c r="AV109" s="149"/>
      <c r="AW109" s="149"/>
      <c r="AX109" s="149"/>
      <c r="AY109" s="149"/>
      <c r="AZ109" s="149"/>
      <c r="BA109" s="149"/>
      <c r="BB109" s="248"/>
      <c r="BC109" s="149"/>
      <c r="BD109" s="149"/>
      <c r="BE109" s="149"/>
      <c r="BF109" s="149"/>
      <c r="BG109" s="149"/>
      <c r="BH109" s="149"/>
      <c r="BI109" s="149"/>
      <c r="BJ109" s="149"/>
      <c r="BK109" s="149"/>
      <c r="BL109" s="149"/>
      <c r="BM109" s="149"/>
      <c r="BN109" s="149"/>
      <c r="BO109" s="149"/>
      <c r="BP109" s="149"/>
      <c r="BQ109" s="149"/>
      <c r="BR109" s="149"/>
      <c r="BS109" s="248"/>
      <c r="BT109" s="248"/>
      <c r="BU109" s="802"/>
      <c r="BV109" s="248"/>
      <c r="BW109" s="248"/>
      <c r="BX109" s="248"/>
      <c r="BY109" s="248"/>
      <c r="BZ109" s="248"/>
      <c r="CA109" s="248"/>
      <c r="CB109" s="248"/>
      <c r="CC109" s="248"/>
      <c r="CD109" s="248"/>
      <c r="CE109" s="248"/>
      <c r="CF109" s="248"/>
      <c r="CG109" s="248"/>
      <c r="CH109" s="248"/>
      <c r="CI109" s="248"/>
      <c r="CJ109" s="248"/>
      <c r="CK109" s="149"/>
      <c r="CL109" s="149"/>
      <c r="CM109" s="149"/>
      <c r="CN109" s="149"/>
      <c r="CO109" s="149"/>
      <c r="CP109" s="149"/>
      <c r="CQ109" s="149"/>
      <c r="CR109" s="149"/>
      <c r="CS109" s="149"/>
      <c r="CT109" s="149"/>
      <c r="CU109" s="149"/>
      <c r="CV109" s="149"/>
      <c r="CW109" s="149"/>
      <c r="CX109" s="149"/>
      <c r="CY109" s="149"/>
      <c r="CZ109" s="149"/>
      <c r="DA109" s="149"/>
      <c r="DB109" s="149"/>
      <c r="DC109" s="248"/>
      <c r="DD109" s="149"/>
      <c r="DE109" s="149"/>
      <c r="DF109" s="149"/>
      <c r="DG109" s="149"/>
      <c r="DH109" s="149"/>
      <c r="DI109" s="149"/>
      <c r="DJ109" s="149"/>
      <c r="DK109" s="149"/>
      <c r="DL109" s="149"/>
      <c r="DM109" s="149"/>
      <c r="DN109" s="149"/>
      <c r="DO109" s="149"/>
    </row>
    <row r="110" spans="1:119" s="6" customFormat="1" ht="13.7" customHeight="1">
      <c r="A110" s="476"/>
      <c r="B110" s="476"/>
      <c r="C110" s="476"/>
      <c r="D110" s="476"/>
      <c r="E110" s="524"/>
      <c r="F110" s="524"/>
      <c r="G110" s="524"/>
      <c r="H110" s="524"/>
      <c r="I110" s="524"/>
      <c r="J110" s="524"/>
      <c r="K110" s="524"/>
      <c r="L110" s="524"/>
      <c r="M110" s="524"/>
      <c r="N110" s="524"/>
      <c r="O110" s="524"/>
      <c r="P110" s="524"/>
      <c r="Q110" s="524"/>
      <c r="R110" s="524"/>
      <c r="S110" s="524"/>
      <c r="T110" s="524"/>
      <c r="U110" s="257"/>
      <c r="V110" s="149"/>
      <c r="W110" s="149"/>
      <c r="X110" s="149"/>
      <c r="Y110" s="149"/>
      <c r="Z110" s="149"/>
      <c r="AA110" s="149"/>
      <c r="AB110" s="149"/>
      <c r="AC110" s="149"/>
      <c r="AD110" s="149"/>
      <c r="AE110" s="149"/>
      <c r="AF110" s="149"/>
      <c r="AG110" s="149"/>
      <c r="AH110" s="149"/>
      <c r="AI110" s="248"/>
      <c r="AJ110" s="248"/>
      <c r="AK110" s="248"/>
      <c r="AL110" s="248"/>
      <c r="AM110" s="149"/>
      <c r="AN110" s="149"/>
      <c r="AO110" s="149"/>
      <c r="AP110" s="149"/>
      <c r="AQ110" s="149"/>
      <c r="AR110" s="149"/>
      <c r="AS110" s="149"/>
      <c r="AT110" s="149"/>
      <c r="AU110" s="149"/>
      <c r="AV110" s="149"/>
      <c r="AW110" s="149"/>
      <c r="AX110" s="149"/>
      <c r="AY110" s="149"/>
      <c r="AZ110" s="149"/>
      <c r="BA110" s="149"/>
      <c r="BB110" s="248"/>
      <c r="BC110" s="149"/>
      <c r="BD110" s="149"/>
      <c r="BE110" s="149"/>
      <c r="BF110" s="149"/>
      <c r="BG110" s="149"/>
      <c r="BH110" s="149"/>
      <c r="BI110" s="149"/>
      <c r="BJ110" s="149"/>
      <c r="BK110" s="149"/>
      <c r="BL110" s="149"/>
      <c r="BM110" s="149"/>
      <c r="BN110" s="149"/>
      <c r="BO110" s="149"/>
      <c r="BP110" s="149"/>
      <c r="BQ110" s="149"/>
      <c r="BR110" s="149"/>
      <c r="BS110" s="248"/>
      <c r="BT110" s="248"/>
      <c r="BU110" s="802"/>
      <c r="BV110" s="248"/>
      <c r="BW110" s="248"/>
      <c r="BX110" s="248"/>
      <c r="BY110" s="248"/>
      <c r="BZ110" s="248"/>
      <c r="CA110" s="248"/>
      <c r="CB110" s="248"/>
      <c r="CC110" s="248"/>
      <c r="CD110" s="248"/>
      <c r="CE110" s="248"/>
      <c r="CF110" s="248"/>
      <c r="CG110" s="248"/>
      <c r="CH110" s="248"/>
      <c r="CI110" s="248"/>
      <c r="CJ110" s="248"/>
      <c r="CK110" s="149"/>
      <c r="CL110" s="149"/>
      <c r="CM110" s="149"/>
      <c r="CN110" s="149"/>
      <c r="CO110" s="149"/>
      <c r="CP110" s="149"/>
      <c r="CQ110" s="149"/>
      <c r="CR110" s="149"/>
      <c r="CS110" s="149"/>
      <c r="CT110" s="149"/>
      <c r="CU110" s="149"/>
      <c r="CV110" s="149"/>
      <c r="CW110" s="149"/>
      <c r="CX110" s="149"/>
      <c r="CY110" s="149"/>
      <c r="CZ110" s="149"/>
      <c r="DA110" s="149"/>
      <c r="DB110" s="149"/>
      <c r="DC110" s="248"/>
      <c r="DD110" s="149"/>
      <c r="DE110" s="149"/>
      <c r="DF110" s="149"/>
      <c r="DG110" s="149"/>
      <c r="DH110" s="149"/>
      <c r="DI110" s="149"/>
      <c r="DJ110" s="149"/>
      <c r="DK110" s="149"/>
      <c r="DL110" s="149"/>
      <c r="DM110" s="149"/>
      <c r="DN110" s="149"/>
      <c r="DO110" s="149"/>
    </row>
    <row r="111" spans="1:119" s="6" customFormat="1" ht="13.7" customHeight="1">
      <c r="A111" s="476"/>
      <c r="B111" s="476"/>
      <c r="C111" s="476"/>
      <c r="D111" s="476"/>
      <c r="E111" s="524"/>
      <c r="F111" s="524"/>
      <c r="G111" s="524"/>
      <c r="H111" s="524"/>
      <c r="I111" s="524"/>
      <c r="J111" s="524"/>
      <c r="K111" s="524"/>
      <c r="L111" s="524"/>
      <c r="M111" s="524"/>
      <c r="N111" s="524"/>
      <c r="O111" s="524"/>
      <c r="P111" s="524"/>
      <c r="Q111" s="524"/>
      <c r="R111" s="524"/>
      <c r="S111" s="524"/>
      <c r="T111" s="524"/>
      <c r="U111" s="257"/>
      <c r="V111" s="149"/>
      <c r="W111" s="149"/>
      <c r="X111" s="149"/>
      <c r="Y111" s="149"/>
      <c r="Z111" s="149"/>
      <c r="AA111" s="149"/>
      <c r="AB111" s="149"/>
      <c r="AC111" s="149"/>
      <c r="AD111" s="149"/>
      <c r="AE111" s="149"/>
      <c r="AF111" s="149"/>
      <c r="AG111" s="149"/>
      <c r="AH111" s="149"/>
      <c r="AI111" s="248"/>
      <c r="AJ111" s="248"/>
      <c r="AK111" s="248"/>
      <c r="AL111" s="248"/>
      <c r="AM111" s="149"/>
      <c r="AN111" s="149"/>
      <c r="AO111" s="149"/>
      <c r="AP111" s="149"/>
      <c r="AQ111" s="149"/>
      <c r="AR111" s="149"/>
      <c r="AS111" s="149"/>
      <c r="AT111" s="149"/>
      <c r="AU111" s="149"/>
      <c r="AV111" s="149"/>
      <c r="AW111" s="149"/>
      <c r="AX111" s="149"/>
      <c r="AY111" s="149"/>
      <c r="AZ111" s="149"/>
      <c r="BA111" s="149"/>
      <c r="BB111" s="248"/>
      <c r="BC111" s="149"/>
      <c r="BD111" s="149"/>
      <c r="BE111" s="149"/>
      <c r="BF111" s="149"/>
      <c r="BG111" s="149"/>
      <c r="BH111" s="149"/>
      <c r="BI111" s="149"/>
      <c r="BJ111" s="149"/>
      <c r="BK111" s="149"/>
      <c r="BL111" s="149"/>
      <c r="BM111" s="149"/>
      <c r="BN111" s="149"/>
      <c r="BO111" s="149"/>
      <c r="BP111" s="149"/>
      <c r="BQ111" s="149"/>
      <c r="BR111" s="149"/>
      <c r="BS111" s="248"/>
      <c r="BT111" s="248"/>
      <c r="BU111" s="802"/>
      <c r="BV111" s="248"/>
      <c r="BW111" s="248"/>
      <c r="BX111" s="248"/>
      <c r="BY111" s="248"/>
      <c r="BZ111" s="248"/>
      <c r="CA111" s="248"/>
      <c r="CB111" s="248"/>
      <c r="CC111" s="248"/>
      <c r="CD111" s="248"/>
      <c r="CE111" s="248"/>
      <c r="CF111" s="248"/>
      <c r="CG111" s="248"/>
      <c r="CH111" s="248"/>
      <c r="CI111" s="248"/>
      <c r="CJ111" s="248"/>
      <c r="CK111" s="149"/>
      <c r="CL111" s="149"/>
      <c r="CM111" s="149"/>
      <c r="CN111" s="149"/>
      <c r="CO111" s="149"/>
      <c r="CP111" s="149"/>
      <c r="CQ111" s="149"/>
      <c r="CR111" s="149"/>
      <c r="CS111" s="149"/>
      <c r="CT111" s="149"/>
      <c r="CU111" s="149"/>
      <c r="CV111" s="149"/>
      <c r="CW111" s="149"/>
      <c r="CX111" s="149"/>
      <c r="CY111" s="149"/>
      <c r="CZ111" s="149"/>
      <c r="DA111" s="149"/>
      <c r="DB111" s="149"/>
      <c r="DC111" s="248"/>
      <c r="DD111" s="149"/>
      <c r="DE111" s="149"/>
      <c r="DF111" s="149"/>
      <c r="DG111" s="149"/>
      <c r="DH111" s="149"/>
      <c r="DI111" s="149"/>
      <c r="DJ111" s="149"/>
      <c r="DK111" s="149"/>
      <c r="DL111" s="149"/>
      <c r="DM111" s="149"/>
      <c r="DN111" s="149"/>
      <c r="DO111" s="149"/>
    </row>
    <row r="112" spans="1:119" ht="13.7" customHeight="1">
      <c r="A112" s="476"/>
      <c r="B112" s="476"/>
      <c r="C112" s="476"/>
      <c r="D112" s="476"/>
      <c r="E112" s="524"/>
      <c r="F112" s="524"/>
      <c r="G112" s="524"/>
      <c r="H112" s="524"/>
      <c r="I112" s="524"/>
      <c r="J112" s="524"/>
      <c r="K112" s="524"/>
      <c r="L112" s="524"/>
      <c r="M112" s="524"/>
      <c r="N112" s="524"/>
      <c r="O112" s="524"/>
      <c r="P112" s="524"/>
      <c r="Q112" s="524"/>
      <c r="R112" s="524"/>
      <c r="S112" s="524"/>
      <c r="T112" s="524"/>
      <c r="U112" s="257"/>
      <c r="V112" s="149"/>
      <c r="W112" s="149"/>
      <c r="X112" s="149"/>
      <c r="Y112" s="149"/>
      <c r="Z112" s="149"/>
      <c r="AA112" s="149"/>
      <c r="AB112" s="149"/>
      <c r="AC112" s="149"/>
      <c r="AD112" s="149"/>
      <c r="AE112" s="149"/>
      <c r="AF112" s="149"/>
      <c r="AG112" s="149"/>
      <c r="AH112" s="149"/>
      <c r="AI112" s="248"/>
      <c r="AJ112" s="248"/>
      <c r="AK112" s="248"/>
      <c r="AL112" s="248"/>
      <c r="AM112" s="149"/>
      <c r="AN112" s="149"/>
      <c r="AO112" s="149"/>
      <c r="AP112" s="149"/>
      <c r="AQ112" s="149"/>
      <c r="AR112" s="149"/>
      <c r="AS112" s="149"/>
      <c r="AT112" s="149"/>
      <c r="AU112" s="149"/>
      <c r="AV112" s="149"/>
      <c r="AW112" s="149"/>
      <c r="AX112" s="149"/>
      <c r="AY112" s="149"/>
      <c r="AZ112" s="149"/>
      <c r="BA112" s="149"/>
      <c r="BB112" s="248"/>
      <c r="BC112" s="149"/>
      <c r="BD112" s="149"/>
      <c r="BE112" s="149"/>
      <c r="BF112" s="149"/>
      <c r="BG112" s="149"/>
      <c r="BH112" s="149"/>
      <c r="BI112" s="149"/>
      <c r="BJ112" s="149"/>
      <c r="BK112" s="149"/>
      <c r="BL112" s="149"/>
      <c r="BM112" s="149"/>
      <c r="BN112" s="149"/>
      <c r="BO112" s="149"/>
      <c r="BP112" s="149"/>
      <c r="BQ112" s="149"/>
      <c r="BR112" s="149"/>
      <c r="BS112" s="248"/>
      <c r="BT112" s="248"/>
      <c r="BU112" s="802"/>
      <c r="BV112" s="248"/>
      <c r="BW112" s="248"/>
      <c r="BX112" s="248"/>
      <c r="BY112" s="248"/>
      <c r="BZ112" s="248"/>
      <c r="CA112" s="248"/>
      <c r="CB112" s="248"/>
      <c r="CC112" s="248"/>
      <c r="CD112" s="248"/>
      <c r="CE112" s="248"/>
      <c r="CF112" s="248"/>
      <c r="CG112" s="248"/>
      <c r="CH112" s="248"/>
      <c r="CI112" s="248"/>
      <c r="CJ112" s="248"/>
      <c r="CK112" s="149"/>
      <c r="CL112" s="149"/>
      <c r="CM112" s="149"/>
      <c r="CN112" s="149"/>
      <c r="CO112" s="149"/>
      <c r="CP112" s="149"/>
      <c r="CQ112" s="149"/>
      <c r="CR112" s="149"/>
      <c r="CS112" s="149"/>
      <c r="CT112" s="149"/>
      <c r="CU112" s="149"/>
      <c r="CV112" s="149"/>
      <c r="CW112" s="149"/>
      <c r="CX112" s="149"/>
      <c r="CY112" s="149"/>
      <c r="CZ112" s="149"/>
      <c r="DA112" s="149"/>
      <c r="DB112" s="149"/>
      <c r="DC112" s="248"/>
      <c r="DD112" s="149"/>
      <c r="DE112" s="149"/>
      <c r="DF112" s="149"/>
      <c r="DG112" s="149"/>
      <c r="DH112" s="149"/>
      <c r="DI112" s="149"/>
      <c r="DJ112" s="149"/>
      <c r="DK112" s="149"/>
      <c r="DL112" s="149"/>
      <c r="DM112" s="149"/>
      <c r="DN112" s="149"/>
      <c r="DO112" s="149"/>
    </row>
    <row r="113" spans="1:119" ht="13.7" customHeight="1">
      <c r="A113" s="476"/>
      <c r="B113" s="476"/>
      <c r="C113" s="476"/>
      <c r="D113" s="476"/>
      <c r="E113" s="524"/>
      <c r="F113" s="524"/>
      <c r="G113" s="524"/>
      <c r="H113" s="524"/>
      <c r="I113" s="524"/>
      <c r="J113" s="524"/>
      <c r="K113" s="524"/>
      <c r="L113" s="524"/>
      <c r="M113" s="524"/>
      <c r="N113" s="524"/>
      <c r="O113" s="524"/>
      <c r="P113" s="524"/>
      <c r="Q113" s="524"/>
      <c r="R113" s="524"/>
      <c r="S113" s="524"/>
      <c r="T113" s="524"/>
      <c r="U113" s="257"/>
      <c r="V113" s="149"/>
      <c r="W113" s="149"/>
      <c r="X113" s="149"/>
      <c r="Y113" s="149"/>
      <c r="Z113" s="149"/>
      <c r="AA113" s="149"/>
      <c r="AB113" s="149"/>
      <c r="AC113" s="149"/>
      <c r="AD113" s="149"/>
      <c r="AE113" s="149"/>
      <c r="AF113" s="149"/>
      <c r="AG113" s="149"/>
      <c r="AH113" s="149"/>
      <c r="AI113" s="248"/>
      <c r="AJ113" s="248"/>
      <c r="AK113" s="248"/>
      <c r="AL113" s="248"/>
      <c r="AM113" s="149"/>
      <c r="AN113" s="149"/>
      <c r="AO113" s="149"/>
      <c r="AP113" s="149"/>
      <c r="AQ113" s="149"/>
      <c r="AR113" s="149"/>
      <c r="AS113" s="149"/>
      <c r="AT113" s="149"/>
      <c r="AU113" s="149"/>
      <c r="AV113" s="149"/>
      <c r="AW113" s="149"/>
      <c r="AX113" s="149"/>
      <c r="AY113" s="149"/>
      <c r="AZ113" s="149"/>
      <c r="BA113" s="149"/>
      <c r="BB113" s="248"/>
      <c r="BC113" s="149"/>
      <c r="BD113" s="149"/>
      <c r="BE113" s="149"/>
      <c r="BF113" s="149"/>
      <c r="BG113" s="149"/>
      <c r="BH113" s="149"/>
      <c r="BI113" s="149"/>
      <c r="BJ113" s="149"/>
      <c r="BK113" s="149"/>
      <c r="BL113" s="149"/>
      <c r="BM113" s="149"/>
      <c r="BN113" s="149"/>
      <c r="BO113" s="149"/>
      <c r="BP113" s="149"/>
      <c r="BQ113" s="149"/>
      <c r="BR113" s="149"/>
      <c r="BS113" s="248"/>
      <c r="BT113" s="248"/>
      <c r="BU113" s="802"/>
      <c r="BV113" s="248"/>
      <c r="BW113" s="248"/>
      <c r="BX113" s="248"/>
      <c r="BY113" s="248"/>
      <c r="BZ113" s="248"/>
      <c r="CA113" s="248"/>
      <c r="CB113" s="248"/>
      <c r="CC113" s="248"/>
      <c r="CD113" s="248"/>
      <c r="CE113" s="248"/>
      <c r="CF113" s="248"/>
      <c r="CG113" s="248"/>
      <c r="CH113" s="248"/>
      <c r="CI113" s="248"/>
      <c r="CJ113" s="248"/>
      <c r="CK113" s="149"/>
      <c r="CL113" s="149"/>
      <c r="CM113" s="149"/>
      <c r="CN113" s="149"/>
      <c r="CO113" s="149"/>
      <c r="CP113" s="149"/>
      <c r="CQ113" s="149"/>
      <c r="CR113" s="149"/>
      <c r="CS113" s="149"/>
      <c r="CT113" s="149"/>
      <c r="CU113" s="149"/>
      <c r="CV113" s="149"/>
      <c r="CW113" s="149"/>
      <c r="CX113" s="149"/>
      <c r="CY113" s="149"/>
      <c r="CZ113" s="149"/>
      <c r="DA113" s="149"/>
      <c r="DB113" s="149"/>
      <c r="DC113" s="248"/>
      <c r="DD113" s="149"/>
      <c r="DE113" s="149"/>
      <c r="DF113" s="149"/>
      <c r="DG113" s="149"/>
      <c r="DH113" s="149"/>
      <c r="DI113" s="149"/>
      <c r="DJ113" s="149"/>
      <c r="DK113" s="149"/>
      <c r="DL113" s="149"/>
      <c r="DM113" s="149"/>
      <c r="DN113" s="149"/>
      <c r="DO113" s="149"/>
    </row>
    <row r="114" spans="1:119" ht="13.7" customHeight="1">
      <c r="A114" s="476"/>
      <c r="B114" s="476"/>
      <c r="C114" s="476"/>
      <c r="D114" s="476"/>
      <c r="E114" s="524"/>
      <c r="F114" s="524"/>
      <c r="G114" s="524"/>
      <c r="H114" s="524"/>
      <c r="I114" s="524"/>
      <c r="J114" s="524"/>
      <c r="K114" s="524"/>
      <c r="L114" s="524"/>
      <c r="M114" s="524"/>
      <c r="N114" s="524"/>
      <c r="O114" s="524"/>
      <c r="P114" s="524"/>
      <c r="Q114" s="524"/>
      <c r="R114" s="524"/>
      <c r="S114" s="524"/>
      <c r="T114" s="524"/>
      <c r="U114" s="257"/>
      <c r="V114" s="149"/>
      <c r="W114" s="149"/>
      <c r="X114" s="149"/>
      <c r="Y114" s="149"/>
      <c r="Z114" s="149"/>
      <c r="AA114" s="149"/>
      <c r="AB114" s="149"/>
      <c r="AC114" s="149"/>
      <c r="AD114" s="149"/>
      <c r="AE114" s="149"/>
      <c r="AF114" s="149"/>
      <c r="AG114" s="149"/>
      <c r="AH114" s="149"/>
      <c r="AI114" s="248"/>
      <c r="AJ114" s="248"/>
      <c r="AK114" s="248"/>
      <c r="AL114" s="248"/>
      <c r="AM114" s="149"/>
      <c r="AN114" s="149"/>
      <c r="AO114" s="149"/>
      <c r="AP114" s="149"/>
      <c r="AQ114" s="149"/>
      <c r="AR114" s="149"/>
      <c r="AS114" s="149"/>
      <c r="AT114" s="149"/>
      <c r="AU114" s="149"/>
      <c r="AV114" s="149"/>
      <c r="AW114" s="149"/>
      <c r="AX114" s="149"/>
      <c r="AY114" s="149"/>
      <c r="AZ114" s="149"/>
      <c r="BA114" s="149"/>
      <c r="BB114" s="248"/>
      <c r="BC114" s="149"/>
      <c r="BD114" s="149"/>
      <c r="BE114" s="149"/>
      <c r="BF114" s="149"/>
      <c r="BG114" s="149"/>
      <c r="BH114" s="149"/>
      <c r="BI114" s="149"/>
      <c r="BJ114" s="149"/>
      <c r="BK114" s="149"/>
      <c r="BL114" s="149"/>
      <c r="BM114" s="149"/>
      <c r="BN114" s="149"/>
      <c r="BO114" s="149"/>
      <c r="BP114" s="149"/>
      <c r="BQ114" s="149"/>
      <c r="BR114" s="149"/>
      <c r="BS114" s="248"/>
      <c r="BT114" s="248"/>
      <c r="BU114" s="802"/>
      <c r="BV114" s="248"/>
      <c r="BW114" s="248"/>
      <c r="BX114" s="248"/>
      <c r="BY114" s="248"/>
      <c r="BZ114" s="248"/>
      <c r="CA114" s="248"/>
      <c r="CB114" s="248"/>
      <c r="CC114" s="248"/>
      <c r="CD114" s="248"/>
      <c r="CE114" s="248"/>
      <c r="CF114" s="248"/>
      <c r="CG114" s="248"/>
      <c r="CH114" s="248"/>
      <c r="CI114" s="248"/>
      <c r="CJ114" s="248"/>
      <c r="CK114" s="149"/>
      <c r="CL114" s="149"/>
      <c r="CM114" s="149"/>
      <c r="CN114" s="149"/>
      <c r="CO114" s="149"/>
      <c r="CP114" s="149"/>
      <c r="CQ114" s="149"/>
      <c r="CR114" s="149"/>
      <c r="CS114" s="149"/>
      <c r="CT114" s="149"/>
      <c r="CU114" s="149"/>
      <c r="CV114" s="149"/>
      <c r="CW114" s="149"/>
      <c r="CX114" s="149"/>
      <c r="CY114" s="149"/>
      <c r="CZ114" s="149"/>
      <c r="DA114" s="149"/>
      <c r="DB114" s="149"/>
      <c r="DC114" s="248"/>
      <c r="DD114" s="149"/>
      <c r="DE114" s="149"/>
      <c r="DF114" s="149"/>
      <c r="DG114" s="149"/>
      <c r="DH114" s="149"/>
      <c r="DI114" s="149"/>
      <c r="DJ114" s="149"/>
      <c r="DK114" s="149"/>
      <c r="DL114" s="149"/>
      <c r="DM114" s="149"/>
      <c r="DN114" s="149"/>
      <c r="DO114" s="149"/>
    </row>
    <row r="115" spans="1:119" ht="13.7" customHeight="1">
      <c r="A115" s="476"/>
      <c r="B115" s="476"/>
      <c r="C115" s="476"/>
      <c r="D115" s="476"/>
      <c r="E115" s="524"/>
      <c r="F115" s="524"/>
      <c r="G115" s="524"/>
      <c r="H115" s="524"/>
      <c r="I115" s="524"/>
      <c r="J115" s="524"/>
      <c r="K115" s="524"/>
      <c r="L115" s="524"/>
      <c r="M115" s="524"/>
      <c r="N115" s="524"/>
      <c r="O115" s="524"/>
      <c r="P115" s="524"/>
      <c r="Q115" s="524"/>
      <c r="R115" s="524"/>
      <c r="S115" s="524"/>
      <c r="T115" s="524"/>
      <c r="U115" s="257"/>
      <c r="V115" s="149"/>
      <c r="W115" s="149"/>
      <c r="X115" s="149"/>
      <c r="Y115" s="149"/>
      <c r="Z115" s="149"/>
      <c r="AA115" s="149"/>
      <c r="AB115" s="149"/>
      <c r="AC115" s="149"/>
      <c r="AD115" s="149"/>
      <c r="AE115" s="149"/>
      <c r="AF115" s="149"/>
      <c r="AG115" s="149"/>
      <c r="AH115" s="149"/>
      <c r="AI115" s="248"/>
      <c r="AJ115" s="248"/>
      <c r="AK115" s="248"/>
      <c r="AL115" s="248"/>
      <c r="AM115" s="149"/>
      <c r="AN115" s="149"/>
      <c r="AO115" s="149"/>
      <c r="AP115" s="149"/>
      <c r="AQ115" s="149"/>
      <c r="AR115" s="149"/>
      <c r="AS115" s="149"/>
      <c r="AT115" s="149"/>
      <c r="AU115" s="149"/>
      <c r="AV115" s="149"/>
      <c r="AW115" s="149"/>
      <c r="AX115" s="149"/>
      <c r="AY115" s="149"/>
      <c r="AZ115" s="149"/>
      <c r="BA115" s="149"/>
      <c r="BB115" s="248"/>
      <c r="BC115" s="149"/>
      <c r="BD115" s="149"/>
      <c r="BE115" s="149"/>
      <c r="BF115" s="149"/>
      <c r="BG115" s="149"/>
      <c r="BH115" s="149"/>
      <c r="BI115" s="149"/>
      <c r="BJ115" s="149"/>
      <c r="BK115" s="149"/>
      <c r="BL115" s="149"/>
      <c r="BM115" s="149"/>
      <c r="BN115" s="149"/>
      <c r="BO115" s="149"/>
      <c r="BP115" s="149"/>
      <c r="BQ115" s="149"/>
      <c r="BR115" s="149"/>
      <c r="BS115" s="248"/>
      <c r="BT115" s="248"/>
      <c r="BU115" s="802"/>
      <c r="BV115" s="248"/>
      <c r="BW115" s="248"/>
      <c r="BX115" s="248"/>
      <c r="BY115" s="248"/>
      <c r="BZ115" s="248"/>
      <c r="CA115" s="248"/>
      <c r="CB115" s="248"/>
      <c r="CC115" s="248"/>
      <c r="CD115" s="248"/>
      <c r="CE115" s="248"/>
      <c r="CF115" s="248"/>
      <c r="CG115" s="248"/>
      <c r="CH115" s="248"/>
      <c r="CI115" s="248"/>
      <c r="CJ115" s="248"/>
      <c r="CK115" s="149"/>
      <c r="CL115" s="149"/>
      <c r="CM115" s="149"/>
      <c r="CN115" s="149"/>
      <c r="CO115" s="149"/>
      <c r="CP115" s="149"/>
      <c r="CQ115" s="149"/>
      <c r="CR115" s="149"/>
      <c r="CS115" s="149"/>
      <c r="CT115" s="149"/>
      <c r="CU115" s="149"/>
      <c r="CV115" s="149"/>
      <c r="CW115" s="149"/>
      <c r="CX115" s="149"/>
      <c r="CY115" s="149"/>
      <c r="CZ115" s="149"/>
      <c r="DA115" s="149"/>
      <c r="DB115" s="149"/>
      <c r="DC115" s="248"/>
      <c r="DD115" s="149"/>
      <c r="DE115" s="149"/>
      <c r="DF115" s="149"/>
      <c r="DG115" s="149"/>
      <c r="DH115" s="149"/>
      <c r="DI115" s="149"/>
      <c r="DJ115" s="149"/>
      <c r="DK115" s="149"/>
      <c r="DL115" s="149"/>
      <c r="DM115" s="149"/>
      <c r="DN115" s="149"/>
      <c r="DO115" s="149"/>
    </row>
    <row r="116" spans="1:119" ht="13.7" customHeight="1">
      <c r="A116" s="476"/>
      <c r="B116" s="476"/>
      <c r="C116" s="476"/>
      <c r="D116" s="476"/>
      <c r="E116" s="524"/>
      <c r="F116" s="524"/>
      <c r="G116" s="156" t="s">
        <v>924</v>
      </c>
      <c r="H116" s="164"/>
      <c r="I116" s="164"/>
      <c r="J116" s="164"/>
      <c r="K116" s="164"/>
      <c r="L116" s="157"/>
      <c r="M116" s="524"/>
      <c r="N116" s="524"/>
      <c r="O116" s="524"/>
      <c r="P116" s="524"/>
      <c r="Q116" s="524"/>
      <c r="R116" s="524"/>
      <c r="S116" s="524"/>
      <c r="T116" s="524"/>
      <c r="U116" s="257"/>
      <c r="V116" s="149"/>
      <c r="W116" s="149"/>
      <c r="X116" s="149"/>
      <c r="Y116" s="149"/>
      <c r="Z116" s="149"/>
      <c r="AA116" s="149"/>
      <c r="AB116" s="149"/>
      <c r="AC116" s="149"/>
      <c r="AD116" s="149"/>
      <c r="AE116" s="149"/>
      <c r="AF116" s="149"/>
      <c r="AG116" s="149"/>
      <c r="AH116" s="149"/>
      <c r="AI116" s="248"/>
      <c r="AJ116" s="248"/>
      <c r="AK116" s="248"/>
      <c r="AL116" s="248"/>
      <c r="AM116" s="149"/>
      <c r="AN116" s="149"/>
      <c r="AO116" s="149"/>
      <c r="AP116" s="149"/>
      <c r="AQ116" s="149"/>
      <c r="AR116" s="149"/>
      <c r="AS116" s="149"/>
      <c r="AT116" s="149"/>
      <c r="AU116" s="149"/>
      <c r="AV116" s="149"/>
      <c r="AW116" s="149"/>
      <c r="AX116" s="149"/>
      <c r="AY116" s="149"/>
      <c r="AZ116" s="149"/>
      <c r="BA116" s="149"/>
      <c r="BB116" s="248"/>
      <c r="BC116" s="149"/>
      <c r="BD116" s="149"/>
      <c r="BE116" s="149"/>
      <c r="BF116" s="149"/>
      <c r="BG116" s="149"/>
      <c r="BH116" s="149"/>
      <c r="BI116" s="149"/>
      <c r="BJ116" s="149"/>
      <c r="BK116" s="149"/>
      <c r="BL116" s="149"/>
      <c r="BM116" s="149"/>
      <c r="BN116" s="149"/>
      <c r="BO116" s="149"/>
      <c r="BP116" s="149"/>
      <c r="BQ116" s="149"/>
      <c r="BR116" s="149"/>
      <c r="BS116" s="248"/>
      <c r="BT116" s="248"/>
      <c r="BU116" s="802"/>
      <c r="BV116" s="248"/>
      <c r="BW116" s="248"/>
      <c r="BX116" s="248"/>
      <c r="BY116" s="248"/>
      <c r="BZ116" s="248"/>
      <c r="CA116" s="248"/>
      <c r="CB116" s="248"/>
      <c r="CC116" s="248"/>
      <c r="CD116" s="248"/>
      <c r="CE116" s="248"/>
      <c r="CF116" s="248"/>
      <c r="CG116" s="248"/>
      <c r="CH116" s="248"/>
      <c r="CI116" s="248"/>
      <c r="CJ116" s="248"/>
      <c r="CK116" s="149"/>
      <c r="CL116" s="149"/>
      <c r="CM116" s="149"/>
      <c r="CN116" s="149"/>
      <c r="CO116" s="149"/>
      <c r="CP116" s="149"/>
      <c r="CQ116" s="149"/>
      <c r="CR116" s="149"/>
      <c r="CS116" s="149"/>
      <c r="CT116" s="149"/>
      <c r="CU116" s="149"/>
      <c r="CV116" s="149"/>
      <c r="CW116" s="149"/>
      <c r="CX116" s="149"/>
      <c r="CY116" s="149"/>
      <c r="CZ116" s="149"/>
      <c r="DA116" s="149"/>
      <c r="DB116" s="149"/>
      <c r="DC116" s="248"/>
      <c r="DD116" s="149"/>
      <c r="DE116" s="149"/>
      <c r="DF116" s="149"/>
      <c r="DG116" s="149"/>
      <c r="DH116" s="149"/>
      <c r="DI116" s="149"/>
      <c r="DJ116" s="149"/>
      <c r="DK116" s="149"/>
      <c r="DL116" s="149"/>
      <c r="DM116" s="149"/>
      <c r="DN116" s="149"/>
      <c r="DO116" s="149"/>
    </row>
    <row r="117" spans="1:119" ht="13.7" customHeight="1">
      <c r="A117" s="476"/>
      <c r="B117" s="476"/>
      <c r="C117" s="476"/>
      <c r="D117" s="476"/>
      <c r="E117" s="524"/>
      <c r="F117" s="524"/>
      <c r="G117" s="160">
        <f>IF(P13&gt;E17,1,0)</f>
        <v>0</v>
      </c>
      <c r="H117" s="161" t="str">
        <f>IF(G117=1,"keine Berechnung","Berechnung o.k.")</f>
        <v>Berechnung o.k.</v>
      </c>
      <c r="I117" s="244"/>
      <c r="J117" s="244"/>
      <c r="K117" s="161"/>
      <c r="L117" s="158"/>
      <c r="M117" s="524"/>
      <c r="N117" s="524"/>
      <c r="O117" s="524"/>
      <c r="P117" s="524"/>
      <c r="Q117" s="524"/>
      <c r="R117" s="524"/>
      <c r="S117" s="524"/>
      <c r="T117" s="524"/>
      <c r="U117" s="257"/>
      <c r="V117" s="149"/>
      <c r="W117" s="149"/>
      <c r="X117" s="149"/>
      <c r="Y117" s="149"/>
      <c r="Z117" s="149"/>
      <c r="AA117" s="149"/>
      <c r="AB117" s="149"/>
      <c r="AC117" s="149"/>
      <c r="AD117" s="149"/>
      <c r="AE117" s="149"/>
      <c r="AF117" s="149"/>
      <c r="AG117" s="149"/>
      <c r="AH117" s="149"/>
      <c r="AI117" s="248"/>
      <c r="AJ117" s="248"/>
      <c r="AK117" s="248"/>
      <c r="AL117" s="248"/>
      <c r="AM117" s="149"/>
      <c r="AN117" s="149"/>
      <c r="AO117" s="149"/>
      <c r="AP117" s="149"/>
      <c r="AQ117" s="149"/>
      <c r="AR117" s="149"/>
      <c r="AS117" s="149"/>
      <c r="AT117" s="149"/>
      <c r="AU117" s="149"/>
      <c r="AV117" s="149"/>
      <c r="AW117" s="149"/>
      <c r="AX117" s="149"/>
      <c r="AY117" s="149"/>
      <c r="AZ117" s="149"/>
      <c r="BA117" s="149"/>
      <c r="BB117" s="248"/>
      <c r="BC117" s="149"/>
      <c r="BD117" s="149"/>
      <c r="BE117" s="149"/>
      <c r="BF117" s="149"/>
      <c r="BG117" s="149"/>
      <c r="BH117" s="149"/>
      <c r="BI117" s="149"/>
      <c r="BJ117" s="149"/>
      <c r="BK117" s="149"/>
      <c r="BL117" s="149"/>
      <c r="BM117" s="149"/>
      <c r="BN117" s="149"/>
      <c r="BO117" s="149"/>
      <c r="BP117" s="149"/>
      <c r="BQ117" s="149"/>
      <c r="BR117" s="149"/>
      <c r="BS117" s="248"/>
      <c r="BT117" s="248"/>
      <c r="BU117" s="802"/>
      <c r="BV117" s="248"/>
      <c r="BW117" s="248"/>
      <c r="BX117" s="248"/>
      <c r="BY117" s="248"/>
      <c r="BZ117" s="248"/>
      <c r="CA117" s="248"/>
      <c r="CB117" s="248"/>
      <c r="CC117" s="248"/>
      <c r="CD117" s="248"/>
      <c r="CE117" s="248"/>
      <c r="CF117" s="248"/>
      <c r="CG117" s="248"/>
      <c r="CH117" s="248"/>
      <c r="CI117" s="248"/>
      <c r="CJ117" s="248"/>
      <c r="CK117" s="149"/>
      <c r="CL117" s="149"/>
      <c r="CM117" s="149"/>
      <c r="CN117" s="149"/>
      <c r="CO117" s="149"/>
      <c r="CP117" s="149"/>
      <c r="CQ117" s="149"/>
      <c r="CR117" s="149"/>
      <c r="CS117" s="149"/>
      <c r="CT117" s="149"/>
      <c r="CU117" s="149"/>
      <c r="CV117" s="149"/>
      <c r="CW117" s="149"/>
      <c r="CX117" s="149"/>
      <c r="CY117" s="149"/>
      <c r="CZ117" s="149"/>
      <c r="DA117" s="149"/>
      <c r="DB117" s="149"/>
      <c r="DC117" s="248"/>
      <c r="DD117" s="149"/>
      <c r="DE117" s="149"/>
      <c r="DF117" s="149"/>
      <c r="DG117" s="149"/>
      <c r="DH117" s="149"/>
      <c r="DI117" s="149"/>
      <c r="DJ117" s="149"/>
      <c r="DK117" s="149"/>
      <c r="DL117" s="149"/>
      <c r="DM117" s="149"/>
      <c r="DN117" s="149"/>
      <c r="DO117" s="149"/>
    </row>
    <row r="118" spans="1:119" ht="13.7" customHeight="1">
      <c r="A118" s="476"/>
      <c r="B118" s="476"/>
      <c r="C118" s="476"/>
      <c r="D118" s="476"/>
      <c r="E118" s="524"/>
      <c r="F118" s="524"/>
      <c r="G118" s="524"/>
      <c r="H118" s="524"/>
      <c r="I118" s="524"/>
      <c r="J118" s="524"/>
      <c r="K118" s="524"/>
      <c r="L118" s="524"/>
      <c r="M118" s="524"/>
      <c r="N118" s="524"/>
      <c r="O118" s="524"/>
      <c r="P118" s="524"/>
      <c r="Q118" s="524"/>
      <c r="R118" s="524"/>
      <c r="S118" s="524"/>
      <c r="T118" s="524"/>
      <c r="U118" s="257"/>
      <c r="V118" s="149"/>
      <c r="W118" s="149"/>
      <c r="X118" s="149"/>
      <c r="Y118" s="149"/>
      <c r="Z118" s="149"/>
      <c r="AA118" s="149"/>
      <c r="AB118" s="149"/>
      <c r="AC118" s="149"/>
      <c r="AD118" s="149"/>
      <c r="AE118" s="149"/>
      <c r="AF118" s="149"/>
      <c r="AG118" s="149"/>
      <c r="AH118" s="149"/>
      <c r="AI118" s="248"/>
      <c r="AJ118" s="248"/>
      <c r="AK118" s="248"/>
      <c r="AL118" s="248"/>
      <c r="AM118" s="149"/>
      <c r="AN118" s="149"/>
      <c r="AO118" s="149"/>
      <c r="AP118" s="149"/>
      <c r="AQ118" s="149"/>
      <c r="AR118" s="149"/>
      <c r="AS118" s="149"/>
      <c r="AT118" s="149"/>
      <c r="AU118" s="149"/>
      <c r="AV118" s="149"/>
      <c r="AW118" s="149"/>
      <c r="AX118" s="149"/>
      <c r="AY118" s="149"/>
      <c r="AZ118" s="149"/>
      <c r="BA118" s="149"/>
      <c r="BB118" s="248"/>
      <c r="BC118" s="149"/>
      <c r="BD118" s="149"/>
      <c r="BE118" s="149"/>
      <c r="BF118" s="149"/>
      <c r="BG118" s="149"/>
      <c r="BH118" s="149"/>
      <c r="BI118" s="149"/>
      <c r="BJ118" s="149"/>
      <c r="BK118" s="149"/>
      <c r="BL118" s="149"/>
      <c r="BM118" s="149"/>
      <c r="BN118" s="149"/>
      <c r="BO118" s="149"/>
      <c r="BP118" s="149"/>
      <c r="BQ118" s="149"/>
      <c r="BR118" s="149"/>
      <c r="BS118" s="248"/>
      <c r="BT118" s="248"/>
      <c r="BU118" s="802"/>
      <c r="BV118" s="248"/>
      <c r="BW118" s="248"/>
      <c r="BX118" s="248"/>
      <c r="BY118" s="248"/>
      <c r="BZ118" s="248"/>
      <c r="CA118" s="248"/>
      <c r="CB118" s="248"/>
      <c r="CC118" s="248"/>
      <c r="CD118" s="248"/>
      <c r="CE118" s="248"/>
      <c r="CF118" s="248"/>
      <c r="CG118" s="248"/>
      <c r="CH118" s="248"/>
      <c r="CI118" s="248"/>
      <c r="CJ118" s="248"/>
      <c r="CK118" s="149"/>
      <c r="CL118" s="149"/>
      <c r="CM118" s="149"/>
      <c r="CN118" s="149"/>
      <c r="CO118" s="149"/>
      <c r="CP118" s="149"/>
      <c r="CQ118" s="149"/>
      <c r="CR118" s="149"/>
      <c r="CS118" s="149"/>
      <c r="CT118" s="149"/>
      <c r="CU118" s="149"/>
      <c r="CV118" s="149"/>
      <c r="CW118" s="149"/>
      <c r="CX118" s="149"/>
      <c r="CY118" s="149"/>
      <c r="CZ118" s="149"/>
      <c r="DA118" s="149"/>
      <c r="DB118" s="149"/>
      <c r="DC118" s="248"/>
      <c r="DD118" s="149"/>
      <c r="DE118" s="149"/>
      <c r="DF118" s="149"/>
      <c r="DG118" s="149"/>
      <c r="DH118" s="149"/>
      <c r="DI118" s="149"/>
      <c r="DJ118" s="149"/>
      <c r="DK118" s="149"/>
      <c r="DL118" s="149"/>
      <c r="DM118" s="149"/>
      <c r="DN118" s="149"/>
      <c r="DO118" s="149"/>
    </row>
    <row r="119" spans="1:119" ht="13.7" customHeight="1">
      <c r="A119" s="476"/>
      <c r="B119" s="476"/>
      <c r="C119" s="476"/>
      <c r="D119" s="476"/>
      <c r="E119" s="524"/>
      <c r="F119" s="524"/>
      <c r="G119" s="156" t="s">
        <v>167</v>
      </c>
      <c r="H119" s="164"/>
      <c r="I119" s="164"/>
      <c r="J119" s="164"/>
      <c r="K119" s="164"/>
      <c r="L119" s="157"/>
      <c r="M119" s="524"/>
      <c r="N119" s="524"/>
      <c r="O119" s="524"/>
      <c r="P119" s="524"/>
      <c r="Q119" s="524"/>
      <c r="R119" s="524"/>
      <c r="S119" s="524"/>
      <c r="T119" s="524"/>
      <c r="U119" s="257"/>
      <c r="V119" s="149"/>
      <c r="W119" s="149"/>
      <c r="X119" s="149"/>
      <c r="Y119" s="149"/>
      <c r="Z119" s="149"/>
      <c r="AA119" s="149"/>
      <c r="AB119" s="149"/>
      <c r="AC119" s="149"/>
      <c r="AD119" s="149"/>
      <c r="AE119" s="149"/>
      <c r="AF119" s="149"/>
      <c r="AG119" s="149"/>
      <c r="AH119" s="149"/>
      <c r="AI119" s="248"/>
      <c r="AJ119" s="248"/>
      <c r="AK119" s="248"/>
      <c r="AL119" s="248"/>
      <c r="AM119" s="149"/>
      <c r="AN119" s="149"/>
      <c r="AO119" s="149"/>
      <c r="AP119" s="149"/>
      <c r="AQ119" s="149"/>
      <c r="AR119" s="149"/>
      <c r="AS119" s="149"/>
      <c r="AT119" s="149"/>
      <c r="AU119" s="149"/>
      <c r="AV119" s="149"/>
      <c r="AW119" s="149"/>
      <c r="AX119" s="149"/>
      <c r="AY119" s="149"/>
      <c r="AZ119" s="149"/>
      <c r="BA119" s="149"/>
      <c r="BB119" s="248"/>
      <c r="BC119" s="149"/>
      <c r="BD119" s="149"/>
      <c r="BE119" s="149"/>
      <c r="BF119" s="149"/>
      <c r="BG119" s="149"/>
      <c r="BH119" s="149"/>
      <c r="BI119" s="149"/>
      <c r="BJ119" s="149"/>
      <c r="BK119" s="149"/>
      <c r="BL119" s="149"/>
      <c r="BM119" s="149"/>
      <c r="BN119" s="149"/>
      <c r="BO119" s="149"/>
      <c r="BP119" s="149"/>
      <c r="BQ119" s="149"/>
      <c r="BR119" s="149"/>
      <c r="BS119" s="248"/>
      <c r="BT119" s="248"/>
      <c r="BU119" s="802"/>
      <c r="BV119" s="248"/>
      <c r="BW119" s="248"/>
      <c r="BX119" s="248"/>
      <c r="BY119" s="248"/>
      <c r="BZ119" s="248"/>
      <c r="CA119" s="248"/>
      <c r="CB119" s="248"/>
      <c r="CC119" s="248"/>
      <c r="CD119" s="248"/>
      <c r="CE119" s="248"/>
      <c r="CF119" s="248"/>
      <c r="CG119" s="248"/>
      <c r="CH119" s="248"/>
      <c r="CI119" s="248"/>
      <c r="CJ119" s="248"/>
      <c r="CK119" s="149"/>
      <c r="CL119" s="149"/>
      <c r="CM119" s="149"/>
      <c r="CN119" s="149"/>
      <c r="CO119" s="149"/>
      <c r="CP119" s="149"/>
      <c r="CQ119" s="149"/>
      <c r="CR119" s="149"/>
      <c r="CS119" s="149"/>
      <c r="CT119" s="149"/>
      <c r="CU119" s="149"/>
      <c r="CV119" s="149"/>
      <c r="CW119" s="149"/>
      <c r="CX119" s="149"/>
      <c r="CY119" s="149"/>
      <c r="CZ119" s="149"/>
      <c r="DA119" s="149"/>
      <c r="DB119" s="149"/>
      <c r="DC119" s="248"/>
      <c r="DD119" s="149"/>
      <c r="DE119" s="149"/>
      <c r="DF119" s="149"/>
      <c r="DG119" s="149"/>
      <c r="DH119" s="149"/>
      <c r="DI119" s="149"/>
      <c r="DJ119" s="149"/>
      <c r="DK119" s="149"/>
      <c r="DL119" s="149"/>
      <c r="DM119" s="149"/>
      <c r="DN119" s="149"/>
      <c r="DO119" s="149"/>
    </row>
    <row r="120" spans="1:119" ht="13.7" customHeight="1">
      <c r="A120" s="476"/>
      <c r="B120" s="476"/>
      <c r="C120" s="476"/>
      <c r="D120" s="476"/>
      <c r="E120" s="524"/>
      <c r="F120" s="524"/>
      <c r="G120" s="160">
        <v>1</v>
      </c>
      <c r="H120" s="161" t="s">
        <v>166</v>
      </c>
      <c r="I120" s="244"/>
      <c r="J120" s="244"/>
      <c r="K120" s="161"/>
      <c r="L120" s="158"/>
      <c r="M120" s="524"/>
      <c r="N120" s="524"/>
      <c r="O120" s="524"/>
      <c r="P120" s="524"/>
      <c r="Q120" s="524"/>
      <c r="R120" s="524"/>
      <c r="S120" s="524"/>
      <c r="T120" s="524"/>
      <c r="U120" s="257"/>
      <c r="V120" s="149"/>
      <c r="W120" s="149"/>
      <c r="X120" s="149"/>
      <c r="Y120" s="149"/>
      <c r="Z120" s="149"/>
      <c r="AA120" s="149"/>
      <c r="AB120" s="149"/>
      <c r="AC120" s="149"/>
      <c r="AD120" s="149"/>
      <c r="AE120" s="149"/>
      <c r="AF120" s="149"/>
      <c r="AG120" s="149"/>
      <c r="AH120" s="149"/>
      <c r="AI120" s="248"/>
      <c r="AJ120" s="248"/>
      <c r="AK120" s="248"/>
      <c r="AL120" s="248"/>
      <c r="AM120" s="149"/>
      <c r="AN120" s="149"/>
      <c r="AO120" s="149"/>
      <c r="AP120" s="149"/>
      <c r="AQ120" s="149"/>
      <c r="AR120" s="149"/>
      <c r="AS120" s="149"/>
      <c r="AT120" s="149"/>
      <c r="AU120" s="149"/>
      <c r="AV120" s="149"/>
      <c r="AW120" s="149"/>
      <c r="AX120" s="149"/>
      <c r="AY120" s="149"/>
      <c r="AZ120" s="149"/>
      <c r="BA120" s="149"/>
      <c r="BB120" s="248"/>
      <c r="BC120" s="149"/>
      <c r="BD120" s="149"/>
      <c r="BE120" s="149"/>
      <c r="BF120" s="149"/>
      <c r="BG120" s="149"/>
      <c r="BH120" s="149"/>
      <c r="BI120" s="149"/>
      <c r="BJ120" s="149"/>
      <c r="BK120" s="149"/>
      <c r="BL120" s="149"/>
      <c r="BM120" s="149"/>
      <c r="BN120" s="149"/>
      <c r="BO120" s="149"/>
      <c r="BP120" s="149"/>
      <c r="BQ120" s="149"/>
      <c r="BR120" s="149"/>
      <c r="BS120" s="248"/>
      <c r="BT120" s="248"/>
      <c r="BU120" s="802"/>
      <c r="BV120" s="248"/>
      <c r="BW120" s="248"/>
      <c r="BX120" s="248"/>
      <c r="BY120" s="248"/>
      <c r="BZ120" s="248"/>
      <c r="CA120" s="248"/>
      <c r="CB120" s="248"/>
      <c r="CC120" s="248"/>
      <c r="CD120" s="248"/>
      <c r="CE120" s="248"/>
      <c r="CF120" s="248"/>
      <c r="CG120" s="248"/>
      <c r="CH120" s="248"/>
      <c r="CI120" s="248"/>
      <c r="CJ120" s="248"/>
      <c r="CK120" s="149"/>
      <c r="CL120" s="149"/>
      <c r="CM120" s="149"/>
      <c r="CN120" s="149"/>
      <c r="CO120" s="149"/>
      <c r="CP120" s="149"/>
      <c r="CQ120" s="149"/>
      <c r="CR120" s="149"/>
      <c r="CS120" s="149"/>
      <c r="CT120" s="149"/>
      <c r="CU120" s="149"/>
      <c r="CV120" s="149"/>
      <c r="CW120" s="149"/>
      <c r="CX120" s="149"/>
      <c r="CY120" s="149"/>
      <c r="CZ120" s="149"/>
      <c r="DA120" s="149"/>
      <c r="DB120" s="149"/>
      <c r="DC120" s="248"/>
      <c r="DD120" s="149"/>
      <c r="DE120" s="149"/>
      <c r="DF120" s="149"/>
      <c r="DG120" s="149"/>
      <c r="DH120" s="149"/>
      <c r="DI120" s="149"/>
      <c r="DJ120" s="149"/>
      <c r="DK120" s="149"/>
      <c r="DL120" s="149"/>
      <c r="DM120" s="149"/>
      <c r="DN120" s="149"/>
      <c r="DO120" s="149"/>
    </row>
    <row r="121" spans="1:119" ht="13.7" customHeight="1">
      <c r="A121" s="476"/>
      <c r="B121" s="476"/>
      <c r="C121" s="476"/>
      <c r="D121" s="476"/>
      <c r="E121" s="524"/>
      <c r="F121" s="524"/>
      <c r="G121" s="162">
        <v>2</v>
      </c>
      <c r="H121" s="163" t="s">
        <v>973</v>
      </c>
      <c r="I121" s="245"/>
      <c r="J121" s="245"/>
      <c r="K121" s="163"/>
      <c r="L121" s="159"/>
      <c r="M121" s="524"/>
      <c r="N121" s="524"/>
      <c r="O121" s="524"/>
      <c r="P121" s="524"/>
      <c r="Q121" s="524"/>
      <c r="R121" s="524"/>
      <c r="S121" s="524"/>
      <c r="T121" s="524"/>
      <c r="U121" s="257"/>
      <c r="V121" s="149"/>
      <c r="W121" s="149"/>
      <c r="X121" s="149"/>
      <c r="Y121" s="149"/>
      <c r="Z121" s="149"/>
      <c r="AA121" s="149"/>
      <c r="AB121" s="149"/>
      <c r="AC121" s="149"/>
      <c r="AD121" s="149"/>
      <c r="AE121" s="149"/>
      <c r="AF121" s="149"/>
      <c r="AG121" s="149"/>
      <c r="AH121" s="149"/>
      <c r="AI121" s="248"/>
      <c r="AJ121" s="248"/>
      <c r="AK121" s="248"/>
      <c r="AL121" s="248"/>
      <c r="AM121" s="149"/>
      <c r="AN121" s="149"/>
      <c r="AO121" s="149"/>
      <c r="AP121" s="149"/>
      <c r="AQ121" s="149"/>
      <c r="AR121" s="149"/>
      <c r="AS121" s="149"/>
      <c r="AT121" s="149"/>
      <c r="AU121" s="149"/>
      <c r="AV121" s="149"/>
      <c r="AW121" s="149"/>
      <c r="AX121" s="149"/>
      <c r="AY121" s="149"/>
      <c r="AZ121" s="149"/>
      <c r="BA121" s="149"/>
      <c r="BB121" s="248"/>
      <c r="BC121" s="149"/>
      <c r="BD121" s="149"/>
      <c r="BE121" s="149"/>
      <c r="BF121" s="149"/>
      <c r="BG121" s="149"/>
      <c r="BH121" s="149"/>
      <c r="BI121" s="149"/>
      <c r="BJ121" s="149"/>
      <c r="BK121" s="149"/>
      <c r="BL121" s="149"/>
      <c r="BM121" s="149"/>
      <c r="BN121" s="149"/>
      <c r="BO121" s="149"/>
      <c r="BP121" s="149"/>
      <c r="BQ121" s="149"/>
      <c r="BR121" s="149"/>
      <c r="BS121" s="248"/>
      <c r="BT121" s="248"/>
      <c r="BU121" s="802"/>
      <c r="BV121" s="248"/>
      <c r="BW121" s="248"/>
      <c r="BX121" s="248"/>
      <c r="BY121" s="248"/>
      <c r="BZ121" s="248"/>
      <c r="CA121" s="248"/>
      <c r="CB121" s="248"/>
      <c r="CC121" s="248"/>
      <c r="CD121" s="248"/>
      <c r="CE121" s="248"/>
      <c r="CF121" s="248"/>
      <c r="CG121" s="248"/>
      <c r="CH121" s="248"/>
      <c r="CI121" s="248"/>
      <c r="CJ121" s="248"/>
      <c r="CK121" s="149"/>
      <c r="CL121" s="149"/>
      <c r="CM121" s="149"/>
      <c r="CN121" s="149"/>
      <c r="CO121" s="149"/>
      <c r="CP121" s="149"/>
      <c r="CQ121" s="149"/>
      <c r="CR121" s="149"/>
      <c r="CS121" s="149"/>
      <c r="CT121" s="149"/>
      <c r="CU121" s="149"/>
      <c r="CV121" s="149"/>
      <c r="CW121" s="149"/>
      <c r="CX121" s="149"/>
      <c r="CY121" s="149"/>
      <c r="CZ121" s="149"/>
      <c r="DA121" s="149"/>
      <c r="DB121" s="149"/>
      <c r="DC121" s="248"/>
      <c r="DD121" s="149"/>
      <c r="DE121" s="149"/>
      <c r="DF121" s="149"/>
      <c r="DG121" s="149"/>
      <c r="DH121" s="149"/>
      <c r="DI121" s="149"/>
      <c r="DJ121" s="149"/>
      <c r="DK121" s="149"/>
      <c r="DL121" s="149"/>
      <c r="DM121" s="149"/>
      <c r="DN121" s="149"/>
      <c r="DO121" s="149"/>
    </row>
    <row r="122" spans="1:119" ht="13.7" customHeight="1">
      <c r="A122" s="476"/>
      <c r="B122" s="476"/>
      <c r="C122" s="476"/>
      <c r="D122" s="476"/>
      <c r="E122" s="524"/>
      <c r="F122" s="524"/>
      <c r="G122" s="11"/>
      <c r="H122" s="11"/>
      <c r="I122" s="11"/>
      <c r="J122" s="11"/>
      <c r="K122" s="11"/>
      <c r="L122" s="11"/>
      <c r="M122" s="524"/>
      <c r="N122" s="524"/>
      <c r="O122" s="524"/>
      <c r="P122" s="524"/>
      <c r="Q122" s="524"/>
      <c r="R122" s="524"/>
      <c r="S122" s="524"/>
      <c r="T122" s="524"/>
      <c r="U122" s="257"/>
      <c r="V122" s="149"/>
      <c r="W122" s="149"/>
      <c r="X122" s="149"/>
      <c r="Y122" s="149"/>
      <c r="Z122" s="149"/>
      <c r="AA122" s="149"/>
      <c r="AB122" s="149"/>
      <c r="AC122" s="149"/>
      <c r="AD122" s="149"/>
      <c r="AE122" s="149"/>
      <c r="AF122" s="149"/>
      <c r="AG122" s="149"/>
      <c r="AH122" s="149"/>
      <c r="AI122" s="248"/>
      <c r="AJ122" s="248"/>
      <c r="AK122" s="248"/>
      <c r="AL122" s="248"/>
      <c r="AM122" s="149"/>
      <c r="AN122" s="149"/>
      <c r="AO122" s="149"/>
      <c r="AP122" s="149"/>
      <c r="AQ122" s="149"/>
      <c r="AR122" s="149"/>
      <c r="AS122" s="149"/>
      <c r="AT122" s="149"/>
      <c r="AU122" s="149"/>
      <c r="AV122" s="149"/>
      <c r="AW122" s="149"/>
      <c r="AX122" s="149"/>
      <c r="AY122" s="149"/>
      <c r="AZ122" s="149"/>
      <c r="BA122" s="149"/>
      <c r="BB122" s="248"/>
      <c r="BC122" s="149"/>
      <c r="BD122" s="149"/>
      <c r="BE122" s="149"/>
      <c r="BF122" s="149"/>
      <c r="BG122" s="149"/>
      <c r="BH122" s="149"/>
      <c r="BI122" s="149"/>
      <c r="BJ122" s="149"/>
      <c r="BK122" s="149"/>
      <c r="BL122" s="149"/>
      <c r="BM122" s="149"/>
      <c r="BN122" s="149"/>
      <c r="BO122" s="149"/>
      <c r="BP122" s="149"/>
      <c r="BQ122" s="149"/>
      <c r="BR122" s="149"/>
      <c r="BS122" s="248"/>
      <c r="BT122" s="248"/>
      <c r="BU122" s="802"/>
      <c r="BV122" s="248"/>
      <c r="BW122" s="248"/>
      <c r="BX122" s="248"/>
      <c r="BY122" s="248"/>
      <c r="BZ122" s="248"/>
      <c r="CA122" s="248"/>
      <c r="CB122" s="248"/>
      <c r="CC122" s="248"/>
      <c r="CD122" s="248"/>
      <c r="CE122" s="248"/>
      <c r="CF122" s="248"/>
      <c r="CG122" s="248"/>
      <c r="CH122" s="248"/>
      <c r="CI122" s="248"/>
      <c r="CJ122" s="248"/>
      <c r="CK122" s="149"/>
      <c r="CL122" s="149"/>
      <c r="CM122" s="149"/>
      <c r="CN122" s="149"/>
      <c r="CO122" s="149"/>
      <c r="CP122" s="149"/>
      <c r="CQ122" s="149"/>
      <c r="CR122" s="149"/>
      <c r="CS122" s="149"/>
      <c r="CT122" s="149"/>
      <c r="CU122" s="149"/>
      <c r="CV122" s="149"/>
      <c r="CW122" s="149"/>
      <c r="CX122" s="149"/>
      <c r="CY122" s="149"/>
      <c r="CZ122" s="149"/>
      <c r="DA122" s="149"/>
      <c r="DB122" s="149"/>
      <c r="DC122" s="248"/>
      <c r="DD122" s="149"/>
      <c r="DE122" s="149"/>
      <c r="DF122" s="149"/>
      <c r="DG122" s="149"/>
      <c r="DH122" s="149"/>
      <c r="DI122" s="149"/>
      <c r="DJ122" s="149"/>
      <c r="DK122" s="149"/>
      <c r="DL122" s="149"/>
      <c r="DM122" s="149"/>
      <c r="DN122" s="149"/>
      <c r="DO122" s="149"/>
    </row>
    <row r="123" spans="1:119" ht="13.7" customHeight="1">
      <c r="A123" s="476"/>
      <c r="B123" s="476"/>
      <c r="C123" s="476"/>
      <c r="D123" s="476"/>
      <c r="E123" s="524"/>
      <c r="F123" s="524"/>
      <c r="G123" s="156" t="s">
        <v>735</v>
      </c>
      <c r="H123" s="164"/>
      <c r="I123" s="164"/>
      <c r="J123" s="164"/>
      <c r="K123" s="164"/>
      <c r="L123" s="157"/>
      <c r="M123" s="524"/>
      <c r="N123" s="524"/>
      <c r="O123" s="524"/>
      <c r="P123" s="524"/>
      <c r="Q123" s="524"/>
      <c r="R123" s="524"/>
      <c r="S123" s="524"/>
      <c r="T123" s="524"/>
      <c r="U123" s="257"/>
      <c r="V123" s="149"/>
      <c r="W123" s="149"/>
      <c r="X123" s="149"/>
      <c r="Y123" s="149"/>
      <c r="Z123" s="149"/>
      <c r="AA123" s="149"/>
      <c r="AB123" s="149"/>
      <c r="AC123" s="149"/>
      <c r="AD123" s="149"/>
      <c r="AE123" s="149"/>
      <c r="AF123" s="149"/>
      <c r="AG123" s="149"/>
      <c r="AH123" s="149"/>
      <c r="AI123" s="248"/>
      <c r="AJ123" s="248"/>
      <c r="AK123" s="248"/>
      <c r="AL123" s="248"/>
      <c r="AM123" s="149"/>
      <c r="AN123" s="149"/>
      <c r="AO123" s="149"/>
      <c r="AP123" s="149"/>
      <c r="AQ123" s="149"/>
      <c r="AR123" s="149"/>
      <c r="AS123" s="149"/>
      <c r="AT123" s="149"/>
      <c r="AU123" s="149"/>
      <c r="AV123" s="149"/>
      <c r="AW123" s="149"/>
      <c r="AX123" s="149"/>
      <c r="AY123" s="149"/>
      <c r="AZ123" s="149"/>
      <c r="BA123" s="149"/>
      <c r="BB123" s="248"/>
      <c r="BC123" s="149"/>
      <c r="BD123" s="149"/>
      <c r="BE123" s="149"/>
      <c r="BF123" s="149"/>
      <c r="BG123" s="149"/>
      <c r="BH123" s="149"/>
      <c r="BI123" s="149"/>
      <c r="BJ123" s="149"/>
      <c r="BK123" s="149"/>
      <c r="BL123" s="149"/>
      <c r="BM123" s="149"/>
      <c r="BN123" s="149"/>
      <c r="BO123" s="149"/>
      <c r="BP123" s="149"/>
      <c r="BQ123" s="149"/>
      <c r="BR123" s="149"/>
      <c r="BS123" s="248"/>
      <c r="BT123" s="248"/>
      <c r="BU123" s="802"/>
      <c r="BV123" s="248"/>
      <c r="BW123" s="248"/>
      <c r="BX123" s="248"/>
      <c r="BY123" s="248"/>
      <c r="BZ123" s="248"/>
      <c r="CA123" s="248"/>
      <c r="CB123" s="248"/>
      <c r="CC123" s="248"/>
      <c r="CD123" s="248"/>
      <c r="CE123" s="248"/>
      <c r="CF123" s="248"/>
      <c r="CG123" s="248"/>
      <c r="CH123" s="248"/>
      <c r="CI123" s="248"/>
      <c r="CJ123" s="248"/>
      <c r="CK123" s="149"/>
      <c r="CL123" s="149"/>
      <c r="CM123" s="149"/>
      <c r="CN123" s="149"/>
      <c r="CO123" s="149"/>
      <c r="CP123" s="149"/>
      <c r="CQ123" s="149"/>
      <c r="CR123" s="149"/>
      <c r="CS123" s="149"/>
      <c r="CT123" s="149"/>
      <c r="CU123" s="149"/>
      <c r="CV123" s="149"/>
      <c r="CW123" s="149"/>
      <c r="CX123" s="149"/>
      <c r="CY123" s="149"/>
      <c r="CZ123" s="149"/>
      <c r="DA123" s="149"/>
      <c r="DB123" s="149"/>
      <c r="DC123" s="248"/>
      <c r="DD123" s="149"/>
      <c r="DE123" s="149"/>
      <c r="DF123" s="149"/>
      <c r="DG123" s="149"/>
      <c r="DH123" s="149"/>
      <c r="DI123" s="149"/>
      <c r="DJ123" s="149"/>
      <c r="DK123" s="149"/>
      <c r="DL123" s="149"/>
      <c r="DM123" s="149"/>
      <c r="DN123" s="149"/>
      <c r="DO123" s="149"/>
    </row>
    <row r="124" spans="1:119" ht="13.7" customHeight="1">
      <c r="A124" s="476"/>
      <c r="B124" s="476"/>
      <c r="C124" s="476"/>
      <c r="D124" s="476"/>
      <c r="E124" s="524"/>
      <c r="F124" s="524"/>
      <c r="G124" s="160">
        <v>1</v>
      </c>
      <c r="H124" s="161" t="s">
        <v>736</v>
      </c>
      <c r="I124" s="244"/>
      <c r="J124" s="244"/>
      <c r="K124" s="161"/>
      <c r="L124" s="158"/>
      <c r="M124" s="524"/>
      <c r="N124" s="524"/>
      <c r="O124" s="524"/>
      <c r="P124" s="524"/>
      <c r="Q124" s="524"/>
      <c r="R124" s="524"/>
      <c r="S124" s="524"/>
      <c r="T124" s="524"/>
      <c r="U124" s="257"/>
      <c r="V124" s="149"/>
      <c r="W124" s="149"/>
      <c r="X124" s="149"/>
      <c r="Y124" s="149"/>
      <c r="Z124" s="149"/>
      <c r="AA124" s="149"/>
      <c r="AB124" s="149"/>
      <c r="AC124" s="149"/>
      <c r="AD124" s="149"/>
      <c r="AE124" s="149"/>
      <c r="AF124" s="149"/>
      <c r="AG124" s="149"/>
      <c r="AH124" s="149"/>
      <c r="AI124" s="248"/>
      <c r="AJ124" s="248"/>
      <c r="AK124" s="248"/>
      <c r="AL124" s="248"/>
      <c r="AM124" s="149"/>
      <c r="AN124" s="149"/>
      <c r="AO124" s="149"/>
      <c r="AP124" s="149"/>
      <c r="AQ124" s="149"/>
      <c r="AR124" s="149"/>
      <c r="AS124" s="149"/>
      <c r="AT124" s="149"/>
      <c r="AU124" s="149"/>
      <c r="AV124" s="149"/>
      <c r="AW124" s="149"/>
      <c r="AX124" s="149"/>
      <c r="AY124" s="149"/>
      <c r="AZ124" s="149"/>
      <c r="BA124" s="149"/>
      <c r="BB124" s="248"/>
      <c r="BC124" s="149"/>
      <c r="BD124" s="149"/>
      <c r="BE124" s="149"/>
      <c r="BF124" s="149"/>
      <c r="BG124" s="149"/>
      <c r="BH124" s="149"/>
      <c r="BI124" s="149"/>
      <c r="BJ124" s="149"/>
      <c r="BK124" s="149"/>
      <c r="BL124" s="149"/>
      <c r="BM124" s="149"/>
      <c r="BN124" s="149"/>
      <c r="BO124" s="149"/>
      <c r="BP124" s="149"/>
      <c r="BQ124" s="149"/>
      <c r="BR124" s="149"/>
      <c r="BS124" s="248"/>
      <c r="BT124" s="248"/>
      <c r="BU124" s="802"/>
      <c r="BV124" s="248"/>
      <c r="BW124" s="248"/>
      <c r="BX124" s="248"/>
      <c r="BY124" s="248"/>
      <c r="BZ124" s="248"/>
      <c r="CA124" s="248"/>
      <c r="CB124" s="248"/>
      <c r="CC124" s="248"/>
      <c r="CD124" s="248"/>
      <c r="CE124" s="248"/>
      <c r="CF124" s="248"/>
      <c r="CG124" s="248"/>
      <c r="CH124" s="248"/>
      <c r="CI124" s="248"/>
      <c r="CJ124" s="248"/>
      <c r="CK124" s="149"/>
      <c r="CL124" s="149"/>
      <c r="CM124" s="149"/>
      <c r="CN124" s="149"/>
      <c r="CO124" s="149"/>
      <c r="CP124" s="149"/>
      <c r="CQ124" s="149"/>
      <c r="CR124" s="149"/>
      <c r="CS124" s="149"/>
      <c r="CT124" s="149"/>
      <c r="CU124" s="149"/>
      <c r="CV124" s="149"/>
      <c r="CW124" s="149"/>
      <c r="CX124" s="149"/>
      <c r="CY124" s="149"/>
      <c r="CZ124" s="149"/>
      <c r="DA124" s="149"/>
      <c r="DB124" s="149"/>
      <c r="DC124" s="248"/>
      <c r="DD124" s="149"/>
      <c r="DE124" s="149"/>
      <c r="DF124" s="149"/>
      <c r="DG124" s="149"/>
      <c r="DH124" s="149"/>
      <c r="DI124" s="149"/>
      <c r="DJ124" s="149"/>
      <c r="DK124" s="149"/>
      <c r="DL124" s="149"/>
      <c r="DM124" s="149"/>
      <c r="DN124" s="149"/>
      <c r="DO124" s="149"/>
    </row>
    <row r="125" spans="1:119" ht="13.7" customHeight="1">
      <c r="A125" s="476"/>
      <c r="B125" s="476"/>
      <c r="C125" s="476"/>
      <c r="D125" s="476"/>
      <c r="E125" s="524"/>
      <c r="F125" s="524"/>
      <c r="G125" s="162">
        <v>2</v>
      </c>
      <c r="H125" s="163" t="str">
        <f>IF(E23&lt;68,"Einspeisevergütungs - Anlage",IF(E23&lt;97,"EEG 2014: Marktprämien-Modell-Anlage","EEG 2017: Marktprämien-Modell-Anlage"))</f>
        <v>EEG 2017: Marktprämien-Modell-Anlage</v>
      </c>
      <c r="I125" s="245"/>
      <c r="J125" s="245"/>
      <c r="K125" s="163"/>
      <c r="L125" s="159"/>
      <c r="M125" s="524"/>
      <c r="N125" s="524"/>
      <c r="O125" s="524"/>
      <c r="P125" s="524"/>
      <c r="Q125" s="524"/>
      <c r="R125" s="524"/>
      <c r="S125" s="524"/>
      <c r="T125" s="524"/>
      <c r="U125" s="257"/>
      <c r="V125" s="149"/>
      <c r="W125" s="149"/>
      <c r="X125" s="149"/>
      <c r="Y125" s="149"/>
      <c r="Z125" s="149"/>
      <c r="AA125" s="149"/>
      <c r="AB125" s="149"/>
      <c r="AC125" s="149"/>
      <c r="AD125" s="149"/>
      <c r="AE125" s="149"/>
      <c r="AF125" s="149"/>
      <c r="AG125" s="149"/>
      <c r="AH125" s="149"/>
      <c r="AI125" s="248"/>
      <c r="AJ125" s="248"/>
      <c r="AK125" s="248"/>
      <c r="AL125" s="248"/>
      <c r="AM125" s="149"/>
      <c r="AN125" s="149"/>
      <c r="AO125" s="149"/>
      <c r="AP125" s="149"/>
      <c r="AQ125" s="149"/>
      <c r="AR125" s="149"/>
      <c r="AS125" s="149"/>
      <c r="AT125" s="149"/>
      <c r="AU125" s="149"/>
      <c r="AV125" s="149"/>
      <c r="AW125" s="149"/>
      <c r="AX125" s="149"/>
      <c r="AY125" s="149"/>
      <c r="AZ125" s="149"/>
      <c r="BA125" s="149"/>
      <c r="BB125" s="248"/>
      <c r="BC125" s="149"/>
      <c r="BD125" s="149"/>
      <c r="BE125" s="149"/>
      <c r="BF125" s="149"/>
      <c r="BG125" s="149"/>
      <c r="BH125" s="149"/>
      <c r="BI125" s="149"/>
      <c r="BJ125" s="149"/>
      <c r="BK125" s="149"/>
      <c r="BL125" s="149"/>
      <c r="BM125" s="149"/>
      <c r="BN125" s="149"/>
      <c r="BO125" s="149"/>
      <c r="BP125" s="149"/>
      <c r="BQ125" s="149"/>
      <c r="BR125" s="149"/>
      <c r="BS125" s="248"/>
      <c r="BT125" s="248"/>
      <c r="BU125" s="802"/>
      <c r="BV125" s="248"/>
      <c r="BW125" s="248"/>
      <c r="BX125" s="248"/>
      <c r="BY125" s="248"/>
      <c r="BZ125" s="248"/>
      <c r="CA125" s="248"/>
      <c r="CB125" s="248"/>
      <c r="CC125" s="248"/>
      <c r="CD125" s="248"/>
      <c r="CE125" s="248"/>
      <c r="CF125" s="248"/>
      <c r="CG125" s="248"/>
      <c r="CH125" s="248"/>
      <c r="CI125" s="248"/>
      <c r="CJ125" s="248"/>
      <c r="CK125" s="149"/>
      <c r="CL125" s="149"/>
      <c r="CM125" s="149"/>
      <c r="CN125" s="149"/>
      <c r="CO125" s="149"/>
      <c r="CP125" s="149"/>
      <c r="CQ125" s="149"/>
      <c r="CR125" s="149"/>
      <c r="CS125" s="149"/>
      <c r="CT125" s="149"/>
      <c r="CU125" s="149"/>
      <c r="CV125" s="149"/>
      <c r="CW125" s="149"/>
      <c r="CX125" s="149"/>
      <c r="CY125" s="149"/>
      <c r="CZ125" s="149"/>
      <c r="DA125" s="149"/>
      <c r="DB125" s="149"/>
      <c r="DC125" s="248"/>
      <c r="DD125" s="149"/>
      <c r="DE125" s="149"/>
      <c r="DF125" s="149"/>
      <c r="DG125" s="149"/>
      <c r="DH125" s="149"/>
      <c r="DI125" s="149"/>
      <c r="DJ125" s="149"/>
      <c r="DK125" s="149"/>
      <c r="DL125" s="149"/>
      <c r="DM125" s="149"/>
      <c r="DN125" s="149"/>
      <c r="DO125" s="149"/>
    </row>
    <row r="126" spans="1:119" ht="13.7" customHeight="1">
      <c r="A126" s="476"/>
      <c r="B126" s="476"/>
      <c r="C126" s="476"/>
      <c r="D126" s="476"/>
      <c r="E126" s="524"/>
      <c r="F126" s="524"/>
      <c r="G126" s="11"/>
      <c r="H126" s="11"/>
      <c r="I126" s="11"/>
      <c r="J126" s="11"/>
      <c r="K126" s="11"/>
      <c r="L126" s="11"/>
      <c r="M126" s="524"/>
      <c r="N126" s="524"/>
      <c r="O126" s="524"/>
      <c r="P126" s="524"/>
      <c r="Q126" s="524"/>
      <c r="R126" s="524"/>
      <c r="S126" s="524"/>
      <c r="T126" s="524"/>
      <c r="U126" s="257"/>
      <c r="V126" s="149"/>
      <c r="W126" s="149"/>
      <c r="X126" s="149"/>
      <c r="Y126" s="149"/>
      <c r="Z126" s="149"/>
      <c r="AA126" s="149"/>
      <c r="AB126" s="149"/>
      <c r="AC126" s="149"/>
      <c r="AD126" s="149"/>
      <c r="AE126" s="149"/>
      <c r="AF126" s="149"/>
      <c r="AG126" s="149"/>
      <c r="AH126" s="149"/>
      <c r="AI126" s="248"/>
      <c r="AJ126" s="248"/>
      <c r="AK126" s="248"/>
      <c r="AL126" s="248"/>
      <c r="AM126" s="149"/>
      <c r="AN126" s="149"/>
      <c r="AO126" s="149"/>
      <c r="AP126" s="149"/>
      <c r="AQ126" s="149"/>
      <c r="AR126" s="149"/>
      <c r="AS126" s="149"/>
      <c r="AT126" s="149"/>
      <c r="AU126" s="149"/>
      <c r="AV126" s="149"/>
      <c r="AW126" s="149"/>
      <c r="AX126" s="149"/>
      <c r="AY126" s="149"/>
      <c r="AZ126" s="149"/>
      <c r="BA126" s="149"/>
      <c r="BB126" s="248"/>
      <c r="BC126" s="149"/>
      <c r="BD126" s="149"/>
      <c r="BE126" s="149"/>
      <c r="BF126" s="149"/>
      <c r="BG126" s="149"/>
      <c r="BH126" s="149"/>
      <c r="BI126" s="149"/>
      <c r="BJ126" s="149"/>
      <c r="BK126" s="149"/>
      <c r="BL126" s="149"/>
      <c r="BM126" s="149"/>
      <c r="BN126" s="149"/>
      <c r="BO126" s="149"/>
      <c r="BP126" s="149"/>
      <c r="BQ126" s="149"/>
      <c r="BR126" s="149"/>
      <c r="BS126" s="248"/>
      <c r="BT126" s="248"/>
      <c r="BU126" s="802"/>
      <c r="BV126" s="248"/>
      <c r="BW126" s="248"/>
      <c r="BX126" s="248"/>
      <c r="BY126" s="248"/>
      <c r="BZ126" s="248"/>
      <c r="CA126" s="248"/>
      <c r="CB126" s="248"/>
      <c r="CC126" s="248"/>
      <c r="CD126" s="248"/>
      <c r="CE126" s="248"/>
      <c r="CF126" s="248"/>
      <c r="CG126" s="248"/>
      <c r="CH126" s="248"/>
      <c r="CI126" s="248"/>
      <c r="CJ126" s="248"/>
      <c r="CK126" s="149"/>
      <c r="CL126" s="149"/>
      <c r="CM126" s="149"/>
      <c r="CN126" s="149"/>
      <c r="CO126" s="149"/>
      <c r="CP126" s="149"/>
      <c r="CQ126" s="149"/>
      <c r="CR126" s="149"/>
      <c r="CS126" s="149"/>
      <c r="CT126" s="149"/>
      <c r="CU126" s="149"/>
      <c r="CV126" s="149"/>
      <c r="CW126" s="149"/>
      <c r="CX126" s="149"/>
      <c r="CY126" s="149"/>
      <c r="CZ126" s="149"/>
      <c r="DA126" s="149"/>
      <c r="DB126" s="149"/>
      <c r="DC126" s="248"/>
      <c r="DD126" s="149"/>
      <c r="DE126" s="149"/>
      <c r="DF126" s="149"/>
      <c r="DG126" s="149"/>
      <c r="DH126" s="149"/>
      <c r="DI126" s="149"/>
      <c r="DJ126" s="149"/>
      <c r="DK126" s="149"/>
      <c r="DL126" s="149"/>
      <c r="DM126" s="149"/>
      <c r="DN126" s="149"/>
      <c r="DO126" s="149"/>
    </row>
    <row r="127" spans="1:119" ht="13.7" customHeight="1">
      <c r="A127" s="476"/>
      <c r="B127" s="476"/>
      <c r="C127" s="476"/>
      <c r="D127" s="476"/>
      <c r="E127" s="524"/>
      <c r="F127" s="524"/>
      <c r="G127" s="156" t="s">
        <v>170</v>
      </c>
      <c r="H127" s="164"/>
      <c r="I127" s="164"/>
      <c r="J127" s="164"/>
      <c r="K127" s="164"/>
      <c r="L127" s="157"/>
      <c r="M127" s="524"/>
      <c r="N127" s="524"/>
      <c r="O127" s="524"/>
      <c r="P127" s="524"/>
      <c r="Q127" s="524"/>
      <c r="R127" s="524"/>
      <c r="S127" s="524"/>
      <c r="T127" s="524"/>
      <c r="U127" s="257"/>
      <c r="V127" s="149"/>
      <c r="W127" s="149"/>
      <c r="X127" s="149"/>
      <c r="Y127" s="149"/>
      <c r="Z127" s="149"/>
      <c r="AA127" s="149"/>
      <c r="AB127" s="149"/>
      <c r="AC127" s="149"/>
      <c r="AD127" s="149"/>
      <c r="AE127" s="149"/>
      <c r="AF127" s="149"/>
      <c r="AG127" s="149"/>
      <c r="AH127" s="149"/>
      <c r="AI127" s="248"/>
      <c r="AJ127" s="248"/>
      <c r="AK127" s="248"/>
      <c r="AL127" s="248"/>
      <c r="AM127" s="149"/>
      <c r="AN127" s="149"/>
      <c r="AO127" s="149"/>
      <c r="AP127" s="149"/>
      <c r="AQ127" s="149"/>
      <c r="AR127" s="149"/>
      <c r="AS127" s="149"/>
      <c r="AT127" s="149"/>
      <c r="AU127" s="149"/>
      <c r="AV127" s="149"/>
      <c r="AW127" s="149"/>
      <c r="AX127" s="149"/>
      <c r="AY127" s="149"/>
      <c r="AZ127" s="149"/>
      <c r="BA127" s="149"/>
      <c r="BB127" s="248"/>
      <c r="BC127" s="149"/>
      <c r="BD127" s="149"/>
      <c r="BE127" s="149"/>
      <c r="BF127" s="149"/>
      <c r="BG127" s="149"/>
      <c r="BH127" s="149"/>
      <c r="BI127" s="149"/>
      <c r="BJ127" s="149"/>
      <c r="BK127" s="149"/>
      <c r="BL127" s="149"/>
      <c r="BM127" s="149"/>
      <c r="BN127" s="149"/>
      <c r="BO127" s="149"/>
      <c r="BP127" s="149"/>
      <c r="BQ127" s="149"/>
      <c r="BR127" s="149"/>
      <c r="BS127" s="248"/>
      <c r="BT127" s="248"/>
      <c r="BU127" s="802"/>
      <c r="BV127" s="248"/>
      <c r="BW127" s="248"/>
      <c r="BX127" s="248"/>
      <c r="BY127" s="248"/>
      <c r="BZ127" s="248"/>
      <c r="CA127" s="248"/>
      <c r="CB127" s="248"/>
      <c r="CC127" s="248"/>
      <c r="CD127" s="248"/>
      <c r="CE127" s="248"/>
      <c r="CF127" s="248"/>
      <c r="CG127" s="248"/>
      <c r="CH127" s="248"/>
      <c r="CI127" s="248"/>
      <c r="CJ127" s="248"/>
      <c r="CK127" s="149"/>
      <c r="CL127" s="149"/>
      <c r="CM127" s="149"/>
      <c r="CN127" s="149"/>
      <c r="CO127" s="149"/>
      <c r="CP127" s="149"/>
      <c r="CQ127" s="149"/>
      <c r="CR127" s="149"/>
      <c r="CS127" s="149"/>
      <c r="CT127" s="149"/>
      <c r="CU127" s="149"/>
      <c r="CV127" s="149"/>
      <c r="CW127" s="149"/>
      <c r="CX127" s="149"/>
      <c r="CY127" s="149"/>
      <c r="CZ127" s="149"/>
      <c r="DA127" s="149"/>
      <c r="DB127" s="149"/>
      <c r="DC127" s="248"/>
      <c r="DD127" s="149"/>
      <c r="DE127" s="149"/>
      <c r="DF127" s="149"/>
      <c r="DG127" s="149"/>
      <c r="DH127" s="149"/>
      <c r="DI127" s="149"/>
      <c r="DJ127" s="149"/>
      <c r="DK127" s="149"/>
      <c r="DL127" s="149"/>
      <c r="DM127" s="149"/>
      <c r="DN127" s="149"/>
      <c r="DO127" s="149"/>
    </row>
    <row r="128" spans="1:119" ht="13.7" customHeight="1">
      <c r="A128" s="476"/>
      <c r="B128" s="476"/>
      <c r="C128" s="476"/>
      <c r="D128" s="476"/>
      <c r="E128" s="524"/>
      <c r="F128" s="524"/>
      <c r="G128" s="909">
        <v>1</v>
      </c>
      <c r="H128" s="161" t="str">
        <f>Einstrahlung!B46</f>
        <v>Berlin</v>
      </c>
      <c r="I128" s="244"/>
      <c r="J128" s="244"/>
      <c r="K128" s="161"/>
      <c r="L128" s="158"/>
      <c r="M128" s="524"/>
      <c r="N128" s="524"/>
      <c r="O128" s="524"/>
      <c r="P128" s="524"/>
      <c r="Q128" s="524"/>
      <c r="R128" s="524"/>
      <c r="S128" s="524"/>
      <c r="T128" s="524"/>
      <c r="U128" s="257"/>
      <c r="V128" s="149"/>
      <c r="W128" s="149"/>
      <c r="X128" s="149"/>
      <c r="Y128" s="149"/>
      <c r="Z128" s="149"/>
      <c r="AA128" s="149"/>
      <c r="AB128" s="149"/>
      <c r="AC128" s="149"/>
      <c r="AD128" s="149"/>
      <c r="AE128" s="149"/>
      <c r="AF128" s="149"/>
      <c r="AG128" s="149"/>
      <c r="AH128" s="149"/>
      <c r="AI128" s="248"/>
      <c r="AJ128" s="248"/>
      <c r="AK128" s="248"/>
      <c r="AL128" s="248"/>
      <c r="AM128" s="149"/>
      <c r="AN128" s="149"/>
      <c r="AO128" s="149"/>
      <c r="AP128" s="149"/>
      <c r="AQ128" s="149"/>
      <c r="AR128" s="149"/>
      <c r="AS128" s="149"/>
      <c r="AT128" s="149"/>
      <c r="AU128" s="149"/>
      <c r="AV128" s="149"/>
      <c r="AW128" s="149"/>
      <c r="AX128" s="149"/>
      <c r="AY128" s="149"/>
      <c r="AZ128" s="149"/>
      <c r="BA128" s="149"/>
      <c r="BB128" s="248"/>
      <c r="BC128" s="149"/>
      <c r="BD128" s="149"/>
      <c r="BE128" s="149"/>
      <c r="BF128" s="149"/>
      <c r="BG128" s="149"/>
      <c r="BH128" s="149"/>
      <c r="BI128" s="149"/>
      <c r="BJ128" s="149"/>
      <c r="BK128" s="149"/>
      <c r="BL128" s="149"/>
      <c r="BM128" s="149"/>
      <c r="BN128" s="149"/>
      <c r="BO128" s="149"/>
      <c r="BP128" s="149"/>
      <c r="BQ128" s="149"/>
      <c r="BR128" s="149"/>
      <c r="BS128" s="248"/>
      <c r="BT128" s="248"/>
      <c r="BU128" s="802"/>
      <c r="BV128" s="248"/>
      <c r="BW128" s="248"/>
      <c r="BX128" s="248"/>
      <c r="BY128" s="248"/>
      <c r="BZ128" s="248"/>
      <c r="CA128" s="248"/>
      <c r="CB128" s="248"/>
      <c r="CC128" s="248"/>
      <c r="CD128" s="248"/>
      <c r="CE128" s="248"/>
      <c r="CF128" s="248"/>
      <c r="CG128" s="248"/>
      <c r="CH128" s="248"/>
      <c r="CI128" s="248"/>
      <c r="CJ128" s="248"/>
      <c r="CK128" s="149"/>
      <c r="CL128" s="149"/>
      <c r="CM128" s="149"/>
      <c r="CN128" s="149"/>
      <c r="CO128" s="149"/>
      <c r="CP128" s="149"/>
      <c r="CQ128" s="149"/>
      <c r="CR128" s="149"/>
      <c r="CS128" s="149"/>
      <c r="CT128" s="149"/>
      <c r="CU128" s="149"/>
      <c r="CV128" s="149"/>
      <c r="CW128" s="149"/>
      <c r="CX128" s="149"/>
      <c r="CY128" s="149"/>
      <c r="CZ128" s="149"/>
      <c r="DA128" s="149"/>
      <c r="DB128" s="149"/>
      <c r="DC128" s="248"/>
      <c r="DD128" s="149"/>
      <c r="DE128" s="149"/>
      <c r="DF128" s="149"/>
      <c r="DG128" s="149"/>
      <c r="DH128" s="149"/>
      <c r="DI128" s="149"/>
      <c r="DJ128" s="149"/>
      <c r="DK128" s="149"/>
      <c r="DL128" s="149"/>
      <c r="DM128" s="149"/>
      <c r="DN128" s="149"/>
      <c r="DO128" s="149"/>
    </row>
    <row r="129" spans="1:119" ht="13.7" customHeight="1">
      <c r="A129" s="476"/>
      <c r="B129" s="476"/>
      <c r="C129" s="476"/>
      <c r="D129" s="476"/>
      <c r="E129" s="524"/>
      <c r="F129" s="524"/>
      <c r="G129" s="909">
        <v>2</v>
      </c>
      <c r="H129" s="161" t="str">
        <f>Einstrahlung!B47</f>
        <v>Dortmund</v>
      </c>
      <c r="I129" s="244"/>
      <c r="J129" s="244"/>
      <c r="K129" s="161"/>
      <c r="L129" s="158"/>
      <c r="M129" s="524"/>
      <c r="N129" s="524"/>
      <c r="O129" s="524"/>
      <c r="P129" s="524"/>
      <c r="Q129" s="524"/>
      <c r="R129" s="524"/>
      <c r="S129" s="524"/>
      <c r="T129" s="524"/>
      <c r="U129" s="257"/>
      <c r="V129" s="149"/>
      <c r="W129" s="149"/>
      <c r="X129" s="149"/>
      <c r="Y129" s="149"/>
      <c r="Z129" s="149"/>
      <c r="AA129" s="149"/>
      <c r="AB129" s="149"/>
      <c r="AC129" s="149"/>
      <c r="AD129" s="149"/>
      <c r="AE129" s="149"/>
      <c r="AF129" s="149"/>
      <c r="AG129" s="149"/>
      <c r="AH129" s="149"/>
      <c r="AI129" s="248"/>
      <c r="AJ129" s="248"/>
      <c r="AK129" s="248"/>
      <c r="AL129" s="248"/>
      <c r="AM129" s="149"/>
      <c r="AN129" s="149"/>
      <c r="AO129" s="149"/>
      <c r="AP129" s="149"/>
      <c r="AQ129" s="149"/>
      <c r="AR129" s="149"/>
      <c r="AS129" s="149"/>
      <c r="AT129" s="149"/>
      <c r="AU129" s="149"/>
      <c r="AV129" s="149"/>
      <c r="AW129" s="149"/>
      <c r="AX129" s="149"/>
      <c r="AY129" s="149"/>
      <c r="AZ129" s="149"/>
      <c r="BA129" s="149"/>
      <c r="BB129" s="248"/>
      <c r="BC129" s="149"/>
      <c r="BD129" s="149"/>
      <c r="BE129" s="149"/>
      <c r="BF129" s="149"/>
      <c r="BG129" s="149"/>
      <c r="BH129" s="149"/>
      <c r="BI129" s="149"/>
      <c r="BJ129" s="149"/>
      <c r="BK129" s="149"/>
      <c r="BL129" s="149"/>
      <c r="BM129" s="149"/>
      <c r="BN129" s="149"/>
      <c r="BO129" s="149"/>
      <c r="BP129" s="149"/>
      <c r="BQ129" s="149"/>
      <c r="BR129" s="149"/>
      <c r="BS129" s="248"/>
      <c r="BT129" s="248"/>
      <c r="BU129" s="802"/>
      <c r="BV129" s="248"/>
      <c r="BW129" s="248"/>
      <c r="BX129" s="248"/>
      <c r="BY129" s="248"/>
      <c r="BZ129" s="248"/>
      <c r="CA129" s="248"/>
      <c r="CB129" s="248"/>
      <c r="CC129" s="248"/>
      <c r="CD129" s="248"/>
      <c r="CE129" s="248"/>
      <c r="CF129" s="248"/>
      <c r="CG129" s="248"/>
      <c r="CH129" s="248"/>
      <c r="CI129" s="248"/>
      <c r="CJ129" s="248"/>
      <c r="CK129" s="149"/>
      <c r="CL129" s="149"/>
      <c r="CM129" s="149"/>
      <c r="CN129" s="149"/>
      <c r="CO129" s="149"/>
      <c r="CP129" s="149"/>
      <c r="CQ129" s="149"/>
      <c r="CR129" s="149"/>
      <c r="CS129" s="149"/>
      <c r="CT129" s="149"/>
      <c r="CU129" s="149"/>
      <c r="CV129" s="149"/>
      <c r="CW129" s="149"/>
      <c r="CX129" s="149"/>
      <c r="CY129" s="149"/>
      <c r="CZ129" s="149"/>
      <c r="DA129" s="149"/>
      <c r="DB129" s="149"/>
      <c r="DC129" s="248"/>
      <c r="DD129" s="149"/>
      <c r="DE129" s="149"/>
      <c r="DF129" s="149"/>
      <c r="DG129" s="149"/>
      <c r="DH129" s="149"/>
      <c r="DI129" s="149"/>
      <c r="DJ129" s="149"/>
      <c r="DK129" s="149"/>
      <c r="DL129" s="149"/>
      <c r="DM129" s="149"/>
      <c r="DN129" s="149"/>
      <c r="DO129" s="149"/>
    </row>
    <row r="130" spans="1:119" ht="13.7" customHeight="1">
      <c r="A130" s="476"/>
      <c r="B130" s="476"/>
      <c r="C130" s="476"/>
      <c r="D130" s="476"/>
      <c r="E130" s="524"/>
      <c r="F130" s="524"/>
      <c r="G130" s="909">
        <v>3</v>
      </c>
      <c r="H130" s="161" t="str">
        <f>Einstrahlung!B48</f>
        <v>Dresden</v>
      </c>
      <c r="I130" s="244"/>
      <c r="J130" s="244"/>
      <c r="K130" s="161"/>
      <c r="L130" s="158"/>
      <c r="M130" s="524"/>
      <c r="N130" s="524"/>
      <c r="O130" s="524"/>
      <c r="P130" s="524"/>
      <c r="Q130" s="524"/>
      <c r="R130" s="524"/>
      <c r="S130" s="524"/>
      <c r="T130" s="524"/>
      <c r="U130" s="257"/>
      <c r="V130" s="149"/>
      <c r="W130" s="149"/>
      <c r="X130" s="149"/>
      <c r="Y130" s="149"/>
      <c r="Z130" s="149"/>
      <c r="AA130" s="149"/>
      <c r="AB130" s="149"/>
      <c r="AC130" s="149"/>
      <c r="AD130" s="149"/>
      <c r="AE130" s="149"/>
      <c r="AF130" s="149"/>
      <c r="AG130" s="149"/>
      <c r="AH130" s="149"/>
      <c r="AI130" s="248"/>
      <c r="AJ130" s="248"/>
      <c r="AK130" s="248"/>
      <c r="AL130" s="248"/>
      <c r="AM130" s="149"/>
      <c r="AN130" s="149"/>
      <c r="AO130" s="149"/>
      <c r="AP130" s="149"/>
      <c r="AQ130" s="149"/>
      <c r="AR130" s="149"/>
      <c r="AS130" s="149"/>
      <c r="AT130" s="149"/>
      <c r="AU130" s="149"/>
      <c r="AV130" s="149"/>
      <c r="AW130" s="149"/>
      <c r="AX130" s="149"/>
      <c r="AY130" s="149"/>
      <c r="AZ130" s="149"/>
      <c r="BA130" s="149"/>
      <c r="BB130" s="248"/>
      <c r="BC130" s="149"/>
      <c r="BD130" s="149"/>
      <c r="BE130" s="149"/>
      <c r="BF130" s="149"/>
      <c r="BG130" s="149"/>
      <c r="BH130" s="149"/>
      <c r="BI130" s="149"/>
      <c r="BJ130" s="149"/>
      <c r="BK130" s="149"/>
      <c r="BL130" s="149"/>
      <c r="BM130" s="149"/>
      <c r="BN130" s="149"/>
      <c r="BO130" s="149"/>
      <c r="BP130" s="149"/>
      <c r="BQ130" s="149"/>
      <c r="BR130" s="149"/>
      <c r="BS130" s="248"/>
      <c r="BT130" s="248"/>
      <c r="BU130" s="802"/>
      <c r="BV130" s="248"/>
      <c r="BW130" s="248"/>
      <c r="BX130" s="248"/>
      <c r="BY130" s="248"/>
      <c r="BZ130" s="248"/>
      <c r="CA130" s="248"/>
      <c r="CB130" s="248"/>
      <c r="CC130" s="248"/>
      <c r="CD130" s="248"/>
      <c r="CE130" s="248"/>
      <c r="CF130" s="248"/>
      <c r="CG130" s="248"/>
      <c r="CH130" s="248"/>
      <c r="CI130" s="248"/>
      <c r="CJ130" s="248"/>
      <c r="CK130" s="149"/>
      <c r="CL130" s="149"/>
      <c r="CM130" s="149"/>
      <c r="CN130" s="149"/>
      <c r="CO130" s="149"/>
      <c r="CP130" s="149"/>
      <c r="CQ130" s="149"/>
      <c r="CR130" s="149"/>
      <c r="CS130" s="149"/>
      <c r="CT130" s="149"/>
      <c r="CU130" s="149"/>
      <c r="CV130" s="149"/>
      <c r="CW130" s="149"/>
      <c r="CX130" s="149"/>
      <c r="CY130" s="149"/>
      <c r="CZ130" s="149"/>
      <c r="DA130" s="149"/>
      <c r="DB130" s="149"/>
      <c r="DC130" s="248"/>
      <c r="DD130" s="149"/>
      <c r="DE130" s="149"/>
      <c r="DF130" s="149"/>
      <c r="DG130" s="149"/>
      <c r="DH130" s="149"/>
      <c r="DI130" s="149"/>
      <c r="DJ130" s="149"/>
      <c r="DK130" s="149"/>
      <c r="DL130" s="149"/>
      <c r="DM130" s="149"/>
      <c r="DN130" s="149"/>
      <c r="DO130" s="149"/>
    </row>
    <row r="131" spans="1:119" ht="13.7" customHeight="1">
      <c r="A131" s="476"/>
      <c r="B131" s="476"/>
      <c r="C131" s="476"/>
      <c r="D131" s="476"/>
      <c r="E131" s="524"/>
      <c r="F131" s="524"/>
      <c r="G131" s="909">
        <v>4</v>
      </c>
      <c r="H131" s="161" t="str">
        <f>Einstrahlung!B49</f>
        <v>Frankfurt a.M.</v>
      </c>
      <c r="I131" s="244"/>
      <c r="J131" s="244"/>
      <c r="K131" s="161"/>
      <c r="L131" s="158"/>
      <c r="M131" s="524"/>
      <c r="N131" s="524"/>
      <c r="O131" s="524"/>
      <c r="P131" s="524"/>
      <c r="Q131" s="524"/>
      <c r="R131" s="524"/>
      <c r="S131" s="524"/>
      <c r="T131" s="524"/>
      <c r="U131" s="257"/>
      <c r="V131" s="149"/>
      <c r="W131" s="149"/>
      <c r="X131" s="149"/>
      <c r="Y131" s="149"/>
      <c r="Z131" s="149"/>
      <c r="AA131" s="149"/>
      <c r="AB131" s="149"/>
      <c r="AC131" s="149"/>
      <c r="AD131" s="149"/>
      <c r="AE131" s="149"/>
      <c r="AF131" s="149"/>
      <c r="AG131" s="149"/>
      <c r="AH131" s="149"/>
      <c r="AI131" s="248"/>
      <c r="AJ131" s="248"/>
      <c r="AK131" s="248"/>
      <c r="AL131" s="248"/>
      <c r="AM131" s="149"/>
      <c r="AN131" s="149"/>
      <c r="AO131" s="149"/>
      <c r="AP131" s="149"/>
      <c r="AQ131" s="149"/>
      <c r="AR131" s="149"/>
      <c r="AS131" s="149"/>
      <c r="AT131" s="149"/>
      <c r="AU131" s="149"/>
      <c r="AV131" s="149"/>
      <c r="AW131" s="149"/>
      <c r="AX131" s="149"/>
      <c r="AY131" s="149"/>
      <c r="AZ131" s="149"/>
      <c r="BA131" s="149"/>
      <c r="BB131" s="248"/>
      <c r="BC131" s="149"/>
      <c r="BD131" s="149"/>
      <c r="BE131" s="149"/>
      <c r="BF131" s="149"/>
      <c r="BG131" s="149"/>
      <c r="BH131" s="149"/>
      <c r="BI131" s="149"/>
      <c r="BJ131" s="149"/>
      <c r="BK131" s="149"/>
      <c r="BL131" s="149"/>
      <c r="BM131" s="149"/>
      <c r="BN131" s="149"/>
      <c r="BO131" s="149"/>
      <c r="BP131" s="149"/>
      <c r="BQ131" s="149"/>
      <c r="BR131" s="149"/>
      <c r="BS131" s="248"/>
      <c r="BT131" s="248"/>
      <c r="BU131" s="802"/>
      <c r="BV131" s="248"/>
      <c r="BW131" s="248"/>
      <c r="BX131" s="248"/>
      <c r="BY131" s="248"/>
      <c r="BZ131" s="248"/>
      <c r="CA131" s="248"/>
      <c r="CB131" s="248"/>
      <c r="CC131" s="248"/>
      <c r="CD131" s="248"/>
      <c r="CE131" s="248"/>
      <c r="CF131" s="248"/>
      <c r="CG131" s="248"/>
      <c r="CH131" s="248"/>
      <c r="CI131" s="248"/>
      <c r="CJ131" s="248"/>
      <c r="CK131" s="149"/>
      <c r="CL131" s="149"/>
      <c r="CM131" s="149"/>
      <c r="CN131" s="149"/>
      <c r="CO131" s="149"/>
      <c r="CP131" s="149"/>
      <c r="CQ131" s="149"/>
      <c r="CR131" s="149"/>
      <c r="CS131" s="149"/>
      <c r="CT131" s="149"/>
      <c r="CU131" s="149"/>
      <c r="CV131" s="149"/>
      <c r="CW131" s="149"/>
      <c r="CX131" s="149"/>
      <c r="CY131" s="149"/>
      <c r="CZ131" s="149"/>
      <c r="DA131" s="149"/>
      <c r="DB131" s="149"/>
      <c r="DC131" s="248"/>
      <c r="DD131" s="149"/>
      <c r="DE131" s="149"/>
      <c r="DF131" s="149"/>
      <c r="DG131" s="149"/>
      <c r="DH131" s="149"/>
      <c r="DI131" s="149"/>
      <c r="DJ131" s="149"/>
      <c r="DK131" s="149"/>
      <c r="DL131" s="149"/>
      <c r="DM131" s="149"/>
      <c r="DN131" s="149"/>
      <c r="DO131" s="149"/>
    </row>
    <row r="132" spans="1:119" ht="13.7" customHeight="1">
      <c r="A132" s="476"/>
      <c r="B132" s="476"/>
      <c r="C132" s="476"/>
      <c r="D132" s="476"/>
      <c r="E132" s="524"/>
      <c r="F132" s="524"/>
      <c r="G132" s="909">
        <v>5</v>
      </c>
      <c r="H132" s="161" t="str">
        <f>Einstrahlung!B50</f>
        <v>Freiburg</v>
      </c>
      <c r="I132" s="244"/>
      <c r="J132" s="244"/>
      <c r="K132" s="161"/>
      <c r="L132" s="158"/>
      <c r="M132" s="524"/>
      <c r="N132" s="524"/>
      <c r="O132" s="524"/>
      <c r="P132" s="524"/>
      <c r="Q132" s="524"/>
      <c r="R132" s="524"/>
      <c r="S132" s="524"/>
      <c r="T132" s="524"/>
      <c r="U132" s="257"/>
      <c r="V132" s="149"/>
      <c r="W132" s="149"/>
      <c r="X132" s="149"/>
      <c r="Y132" s="149"/>
      <c r="Z132" s="149"/>
      <c r="AA132" s="149"/>
      <c r="AB132" s="149"/>
      <c r="AC132" s="149"/>
      <c r="AD132" s="149"/>
      <c r="AE132" s="149"/>
      <c r="AF132" s="149"/>
      <c r="AG132" s="149"/>
      <c r="AH132" s="149"/>
      <c r="AI132" s="248"/>
      <c r="AJ132" s="248"/>
      <c r="AK132" s="248"/>
      <c r="AL132" s="248"/>
      <c r="AM132" s="149"/>
      <c r="AN132" s="149"/>
      <c r="AO132" s="149"/>
      <c r="AP132" s="149"/>
      <c r="AQ132" s="149"/>
      <c r="AR132" s="149"/>
      <c r="AS132" s="149"/>
      <c r="AT132" s="149"/>
      <c r="AU132" s="149"/>
      <c r="AV132" s="149"/>
      <c r="AW132" s="149"/>
      <c r="AX132" s="149"/>
      <c r="AY132" s="149"/>
      <c r="AZ132" s="149"/>
      <c r="BA132" s="149"/>
      <c r="BB132" s="248"/>
      <c r="BC132" s="149"/>
      <c r="BD132" s="149"/>
      <c r="BE132" s="149"/>
      <c r="BF132" s="149"/>
      <c r="BG132" s="149"/>
      <c r="BH132" s="149"/>
      <c r="BI132" s="149"/>
      <c r="BJ132" s="149"/>
      <c r="BK132" s="149"/>
      <c r="BL132" s="149"/>
      <c r="BM132" s="149"/>
      <c r="BN132" s="149"/>
      <c r="BO132" s="149"/>
      <c r="BP132" s="149"/>
      <c r="BQ132" s="149"/>
      <c r="BR132" s="149"/>
      <c r="BS132" s="248"/>
      <c r="BT132" s="248"/>
      <c r="BU132" s="802"/>
      <c r="BV132" s="248"/>
      <c r="BW132" s="248"/>
      <c r="BX132" s="248"/>
      <c r="BY132" s="248"/>
      <c r="BZ132" s="248"/>
      <c r="CA132" s="248"/>
      <c r="CB132" s="248"/>
      <c r="CC132" s="248"/>
      <c r="CD132" s="248"/>
      <c r="CE132" s="248"/>
      <c r="CF132" s="248"/>
      <c r="CG132" s="248"/>
      <c r="CH132" s="248"/>
      <c r="CI132" s="248"/>
      <c r="CJ132" s="248"/>
      <c r="CK132" s="149"/>
      <c r="CL132" s="149"/>
      <c r="CM132" s="149"/>
      <c r="CN132" s="149"/>
      <c r="CO132" s="149"/>
      <c r="CP132" s="149"/>
      <c r="CQ132" s="149"/>
      <c r="CR132" s="149"/>
      <c r="CS132" s="149"/>
      <c r="CT132" s="149"/>
      <c r="CU132" s="149"/>
      <c r="CV132" s="149"/>
      <c r="CW132" s="149"/>
      <c r="CX132" s="149"/>
      <c r="CY132" s="149"/>
      <c r="CZ132" s="149"/>
      <c r="DA132" s="149"/>
      <c r="DB132" s="149"/>
      <c r="DC132" s="248"/>
      <c r="DD132" s="149"/>
      <c r="DE132" s="149"/>
      <c r="DF132" s="149"/>
      <c r="DG132" s="149"/>
      <c r="DH132" s="149"/>
      <c r="DI132" s="149"/>
      <c r="DJ132" s="149"/>
      <c r="DK132" s="149"/>
      <c r="DL132" s="149"/>
      <c r="DM132" s="149"/>
      <c r="DN132" s="149"/>
      <c r="DO132" s="149"/>
    </row>
    <row r="133" spans="1:119" ht="13.7" customHeight="1">
      <c r="A133" s="476"/>
      <c r="B133" s="476"/>
      <c r="C133" s="476"/>
      <c r="D133" s="476"/>
      <c r="E133" s="524"/>
      <c r="F133" s="524"/>
      <c r="G133" s="909">
        <v>6</v>
      </c>
      <c r="H133" s="161" t="str">
        <f>Einstrahlung!B51</f>
        <v>Hamburg</v>
      </c>
      <c r="I133" s="244"/>
      <c r="J133" s="244"/>
      <c r="K133" s="161"/>
      <c r="L133" s="158"/>
      <c r="M133" s="524"/>
      <c r="N133" s="524"/>
      <c r="O133" s="524"/>
      <c r="P133" s="524"/>
      <c r="Q133" s="524"/>
      <c r="R133" s="524"/>
      <c r="S133" s="524"/>
      <c r="T133" s="524"/>
      <c r="U133" s="257"/>
      <c r="V133" s="149"/>
      <c r="W133" s="149"/>
      <c r="X133" s="149"/>
      <c r="Y133" s="149"/>
      <c r="Z133" s="149"/>
      <c r="AA133" s="149"/>
      <c r="AB133" s="149"/>
      <c r="AC133" s="149"/>
      <c r="AD133" s="149"/>
      <c r="AE133" s="149"/>
      <c r="AF133" s="149"/>
      <c r="AG133" s="149"/>
      <c r="AH133" s="149"/>
      <c r="AI133" s="248"/>
      <c r="AJ133" s="248"/>
      <c r="AK133" s="248"/>
      <c r="AL133" s="248"/>
      <c r="AM133" s="149"/>
      <c r="AN133" s="149"/>
      <c r="AO133" s="149"/>
      <c r="AP133" s="149"/>
      <c r="AQ133" s="149"/>
      <c r="AR133" s="149"/>
      <c r="AS133" s="149"/>
      <c r="AT133" s="149"/>
      <c r="AU133" s="149"/>
      <c r="AV133" s="149"/>
      <c r="AW133" s="149"/>
      <c r="AX133" s="149"/>
      <c r="AY133" s="149"/>
      <c r="AZ133" s="149"/>
      <c r="BA133" s="149"/>
      <c r="BB133" s="248"/>
      <c r="BC133" s="149"/>
      <c r="BD133" s="149"/>
      <c r="BE133" s="149"/>
      <c r="BF133" s="149"/>
      <c r="BG133" s="149"/>
      <c r="BH133" s="149"/>
      <c r="BI133" s="149"/>
      <c r="BJ133" s="149"/>
      <c r="BK133" s="149"/>
      <c r="BL133" s="149"/>
      <c r="BM133" s="149"/>
      <c r="BN133" s="149"/>
      <c r="BO133" s="149"/>
      <c r="BP133" s="149"/>
      <c r="BQ133" s="149"/>
      <c r="BR133" s="149"/>
      <c r="BS133" s="248"/>
      <c r="BT133" s="248"/>
      <c r="BU133" s="802"/>
      <c r="BV133" s="248"/>
      <c r="BW133" s="248"/>
      <c r="BX133" s="248"/>
      <c r="BY133" s="248"/>
      <c r="BZ133" s="248"/>
      <c r="CA133" s="248"/>
      <c r="CB133" s="248"/>
      <c r="CC133" s="248"/>
      <c r="CD133" s="248"/>
      <c r="CE133" s="248"/>
      <c r="CF133" s="248"/>
      <c r="CG133" s="248"/>
      <c r="CH133" s="248"/>
      <c r="CI133" s="248"/>
      <c r="CJ133" s="248"/>
      <c r="CK133" s="149"/>
      <c r="CL133" s="149"/>
      <c r="CM133" s="149"/>
      <c r="CN133" s="149"/>
      <c r="CO133" s="149"/>
      <c r="CP133" s="149"/>
      <c r="CQ133" s="149"/>
      <c r="CR133" s="149"/>
      <c r="CS133" s="149"/>
      <c r="CT133" s="149"/>
      <c r="CU133" s="149"/>
      <c r="CV133" s="149"/>
      <c r="CW133" s="149"/>
      <c r="CX133" s="149"/>
      <c r="CY133" s="149"/>
      <c r="CZ133" s="149"/>
      <c r="DA133" s="149"/>
      <c r="DB133" s="149"/>
      <c r="DC133" s="248"/>
      <c r="DD133" s="149"/>
      <c r="DE133" s="149"/>
      <c r="DF133" s="149"/>
      <c r="DG133" s="149"/>
      <c r="DH133" s="149"/>
      <c r="DI133" s="149"/>
      <c r="DJ133" s="149"/>
      <c r="DK133" s="149"/>
      <c r="DL133" s="149"/>
      <c r="DM133" s="149"/>
      <c r="DN133" s="149"/>
      <c r="DO133" s="149"/>
    </row>
    <row r="134" spans="1:119" ht="13.7" customHeight="1">
      <c r="A134" s="476"/>
      <c r="B134" s="476"/>
      <c r="C134" s="476"/>
      <c r="D134" s="476"/>
      <c r="E134" s="524"/>
      <c r="F134" s="524"/>
      <c r="G134" s="909">
        <v>7</v>
      </c>
      <c r="H134" s="161" t="str">
        <f>Einstrahlung!B52</f>
        <v>Mannheim</v>
      </c>
      <c r="I134" s="244"/>
      <c r="J134" s="244"/>
      <c r="K134" s="161"/>
      <c r="L134" s="158"/>
      <c r="M134" s="524"/>
      <c r="N134" s="524"/>
      <c r="O134" s="524"/>
      <c r="P134" s="524"/>
      <c r="Q134" s="524"/>
      <c r="R134" s="524"/>
      <c r="S134" s="524"/>
      <c r="T134" s="524"/>
      <c r="U134" s="257"/>
      <c r="V134" s="149"/>
      <c r="W134" s="149"/>
      <c r="X134" s="149"/>
      <c r="Y134" s="149"/>
      <c r="Z134" s="149"/>
      <c r="AA134" s="149"/>
      <c r="AB134" s="149"/>
      <c r="AC134" s="149"/>
      <c r="AD134" s="149"/>
      <c r="AE134" s="149"/>
      <c r="AF134" s="149"/>
      <c r="AG134" s="149"/>
      <c r="AH134" s="149"/>
      <c r="AI134" s="248"/>
      <c r="AJ134" s="248"/>
      <c r="AK134" s="248"/>
      <c r="AL134" s="248"/>
      <c r="AM134" s="149"/>
      <c r="AN134" s="149"/>
      <c r="AO134" s="149"/>
      <c r="AP134" s="149"/>
      <c r="AQ134" s="149"/>
      <c r="AR134" s="149"/>
      <c r="AS134" s="149"/>
      <c r="AT134" s="149"/>
      <c r="AU134" s="149"/>
      <c r="AV134" s="149"/>
      <c r="AW134" s="149"/>
      <c r="AX134" s="149"/>
      <c r="AY134" s="149"/>
      <c r="AZ134" s="149"/>
      <c r="BA134" s="149"/>
      <c r="BB134" s="248"/>
      <c r="BC134" s="149"/>
      <c r="BD134" s="149"/>
      <c r="BE134" s="149"/>
      <c r="BF134" s="149"/>
      <c r="BG134" s="149"/>
      <c r="BH134" s="149"/>
      <c r="BI134" s="149"/>
      <c r="BJ134" s="149"/>
      <c r="BK134" s="149"/>
      <c r="BL134" s="149"/>
      <c r="BM134" s="149"/>
      <c r="BN134" s="149"/>
      <c r="BO134" s="149"/>
      <c r="BP134" s="149"/>
      <c r="BQ134" s="149"/>
      <c r="BR134" s="149"/>
      <c r="BS134" s="248"/>
      <c r="BT134" s="248"/>
      <c r="BU134" s="802"/>
      <c r="BV134" s="248"/>
      <c r="BW134" s="248"/>
      <c r="BX134" s="248"/>
      <c r="BY134" s="248"/>
      <c r="BZ134" s="248"/>
      <c r="CA134" s="248"/>
      <c r="CB134" s="248"/>
      <c r="CC134" s="248"/>
      <c r="CD134" s="248"/>
      <c r="CE134" s="248"/>
      <c r="CF134" s="248"/>
      <c r="CG134" s="248"/>
      <c r="CH134" s="248"/>
      <c r="CI134" s="248"/>
      <c r="CJ134" s="248"/>
      <c r="CK134" s="149"/>
      <c r="CL134" s="149"/>
      <c r="CM134" s="149"/>
      <c r="CN134" s="149"/>
      <c r="CO134" s="149"/>
      <c r="CP134" s="149"/>
      <c r="CQ134" s="149"/>
      <c r="CR134" s="149"/>
      <c r="CS134" s="149"/>
      <c r="CT134" s="149"/>
      <c r="CU134" s="149"/>
      <c r="CV134" s="149"/>
      <c r="CW134" s="149"/>
      <c r="CX134" s="149"/>
      <c r="CY134" s="149"/>
      <c r="CZ134" s="149"/>
      <c r="DA134" s="149"/>
      <c r="DB134" s="149"/>
      <c r="DC134" s="248"/>
      <c r="DD134" s="149"/>
      <c r="DE134" s="149"/>
      <c r="DF134" s="149"/>
      <c r="DG134" s="149"/>
      <c r="DH134" s="149"/>
      <c r="DI134" s="149"/>
      <c r="DJ134" s="149"/>
      <c r="DK134" s="149"/>
      <c r="DL134" s="149"/>
      <c r="DM134" s="149"/>
      <c r="DN134" s="149"/>
      <c r="DO134" s="149"/>
    </row>
    <row r="135" spans="1:119" ht="13.7" customHeight="1">
      <c r="A135" s="476"/>
      <c r="B135" s="476"/>
      <c r="C135" s="476"/>
      <c r="D135" s="476"/>
      <c r="E135" s="524"/>
      <c r="F135" s="524"/>
      <c r="G135" s="909">
        <v>8</v>
      </c>
      <c r="H135" s="161" t="str">
        <f>Einstrahlung!B53</f>
        <v>München</v>
      </c>
      <c r="I135" s="244"/>
      <c r="J135" s="244"/>
      <c r="K135" s="161"/>
      <c r="L135" s="158"/>
      <c r="M135" s="524"/>
      <c r="N135" s="524"/>
      <c r="O135" s="524"/>
      <c r="P135" s="524"/>
      <c r="Q135" s="524"/>
      <c r="R135" s="524"/>
      <c r="S135" s="524"/>
      <c r="T135" s="524"/>
      <c r="U135" s="257"/>
      <c r="V135" s="149"/>
      <c r="W135" s="149"/>
      <c r="X135" s="149"/>
      <c r="Y135" s="149"/>
      <c r="Z135" s="149"/>
      <c r="AA135" s="149"/>
      <c r="AB135" s="149"/>
      <c r="AC135" s="149"/>
      <c r="AD135" s="149"/>
      <c r="AE135" s="149"/>
      <c r="AF135" s="149"/>
      <c r="AG135" s="149"/>
      <c r="AH135" s="149"/>
      <c r="AI135" s="248"/>
      <c r="AJ135" s="248"/>
      <c r="AK135" s="248"/>
      <c r="AL135" s="248"/>
      <c r="AM135" s="149"/>
      <c r="AN135" s="149"/>
      <c r="AO135" s="149"/>
      <c r="AP135" s="149"/>
      <c r="AQ135" s="149"/>
      <c r="AR135" s="149"/>
      <c r="AS135" s="149"/>
      <c r="AT135" s="149"/>
      <c r="AU135" s="149"/>
      <c r="AV135" s="149"/>
      <c r="AW135" s="149"/>
      <c r="AX135" s="149"/>
      <c r="AY135" s="149"/>
      <c r="AZ135" s="149"/>
      <c r="BA135" s="149"/>
      <c r="BB135" s="248"/>
      <c r="BC135" s="149"/>
      <c r="BD135" s="149"/>
      <c r="BE135" s="149"/>
      <c r="BF135" s="149"/>
      <c r="BG135" s="149"/>
      <c r="BH135" s="149"/>
      <c r="BI135" s="149"/>
      <c r="BJ135" s="149"/>
      <c r="BK135" s="149"/>
      <c r="BL135" s="149"/>
      <c r="BM135" s="149"/>
      <c r="BN135" s="149"/>
      <c r="BO135" s="149"/>
      <c r="BP135" s="149"/>
      <c r="BQ135" s="149"/>
      <c r="BR135" s="149"/>
      <c r="BS135" s="248"/>
      <c r="BT135" s="248"/>
      <c r="BU135" s="802"/>
      <c r="BV135" s="248"/>
      <c r="BW135" s="248"/>
      <c r="BX135" s="248"/>
      <c r="BY135" s="248"/>
      <c r="BZ135" s="248"/>
      <c r="CA135" s="248"/>
      <c r="CB135" s="248"/>
      <c r="CC135" s="248"/>
      <c r="CD135" s="248"/>
      <c r="CE135" s="248"/>
      <c r="CF135" s="248"/>
      <c r="CG135" s="248"/>
      <c r="CH135" s="248"/>
      <c r="CI135" s="248"/>
      <c r="CJ135" s="248"/>
      <c r="CK135" s="149"/>
      <c r="CL135" s="149"/>
      <c r="CM135" s="149"/>
      <c r="CN135" s="149"/>
      <c r="CO135" s="149"/>
      <c r="CP135" s="149"/>
      <c r="CQ135" s="149"/>
      <c r="CR135" s="149"/>
      <c r="CS135" s="149"/>
      <c r="CT135" s="149"/>
      <c r="CU135" s="149"/>
      <c r="CV135" s="149"/>
      <c r="CW135" s="149"/>
      <c r="CX135" s="149"/>
      <c r="CY135" s="149"/>
      <c r="CZ135" s="149"/>
      <c r="DA135" s="149"/>
      <c r="DB135" s="149"/>
      <c r="DC135" s="248"/>
      <c r="DD135" s="149"/>
      <c r="DE135" s="149"/>
      <c r="DF135" s="149"/>
      <c r="DG135" s="149"/>
      <c r="DH135" s="149"/>
      <c r="DI135" s="149"/>
      <c r="DJ135" s="149"/>
      <c r="DK135" s="149"/>
      <c r="DL135" s="149"/>
      <c r="DM135" s="149"/>
      <c r="DN135" s="149"/>
      <c r="DO135" s="149"/>
    </row>
    <row r="136" spans="1:119" ht="13.7" customHeight="1">
      <c r="A136" s="476"/>
      <c r="B136" s="476"/>
      <c r="C136" s="476"/>
      <c r="D136" s="476"/>
      <c r="E136" s="524"/>
      <c r="F136" s="524"/>
      <c r="G136" s="909">
        <v>9</v>
      </c>
      <c r="H136" s="161" t="str">
        <f>Einstrahlung!B54</f>
        <v>Ravensburg</v>
      </c>
      <c r="I136" s="244"/>
      <c r="J136" s="244"/>
      <c r="K136" s="161"/>
      <c r="L136" s="158"/>
      <c r="M136" s="524"/>
      <c r="N136" s="524"/>
      <c r="O136" s="524"/>
      <c r="P136" s="524"/>
      <c r="Q136" s="524"/>
      <c r="R136" s="524"/>
      <c r="S136" s="524"/>
      <c r="T136" s="524"/>
      <c r="U136" s="257"/>
      <c r="V136" s="149"/>
      <c r="W136" s="149"/>
      <c r="X136" s="149"/>
      <c r="Y136" s="149"/>
      <c r="Z136" s="149"/>
      <c r="AA136" s="149"/>
      <c r="AB136" s="149"/>
      <c r="AC136" s="149"/>
      <c r="AD136" s="149"/>
      <c r="AE136" s="149"/>
      <c r="AF136" s="149"/>
      <c r="AG136" s="149"/>
      <c r="AH136" s="149"/>
      <c r="AI136" s="248"/>
      <c r="AJ136" s="248"/>
      <c r="AK136" s="248"/>
      <c r="AL136" s="248"/>
      <c r="AM136" s="149"/>
      <c r="AN136" s="149"/>
      <c r="AO136" s="149"/>
      <c r="AP136" s="149"/>
      <c r="AQ136" s="149"/>
      <c r="AR136" s="149"/>
      <c r="AS136" s="149"/>
      <c r="AT136" s="149"/>
      <c r="AU136" s="149"/>
      <c r="AV136" s="149"/>
      <c r="AW136" s="149"/>
      <c r="AX136" s="149"/>
      <c r="AY136" s="149"/>
      <c r="AZ136" s="149"/>
      <c r="BA136" s="149"/>
      <c r="BB136" s="248"/>
      <c r="BC136" s="149"/>
      <c r="BD136" s="149"/>
      <c r="BE136" s="149"/>
      <c r="BF136" s="149"/>
      <c r="BG136" s="149"/>
      <c r="BH136" s="149"/>
      <c r="BI136" s="149"/>
      <c r="BJ136" s="149"/>
      <c r="BK136" s="149"/>
      <c r="BL136" s="149"/>
      <c r="BM136" s="149"/>
      <c r="BN136" s="149"/>
      <c r="BO136" s="149"/>
      <c r="BP136" s="149"/>
      <c r="BQ136" s="149"/>
      <c r="BR136" s="149"/>
      <c r="BS136" s="248"/>
      <c r="BT136" s="248"/>
      <c r="BU136" s="802"/>
      <c r="BV136" s="248"/>
      <c r="BW136" s="248"/>
      <c r="BX136" s="248"/>
      <c r="BY136" s="248"/>
      <c r="BZ136" s="248"/>
      <c r="CA136" s="248"/>
      <c r="CB136" s="248"/>
      <c r="CC136" s="248"/>
      <c r="CD136" s="248"/>
      <c r="CE136" s="248"/>
      <c r="CF136" s="248"/>
      <c r="CG136" s="248"/>
      <c r="CH136" s="248"/>
      <c r="CI136" s="248"/>
      <c r="CJ136" s="248"/>
      <c r="CK136" s="149"/>
      <c r="CL136" s="149"/>
      <c r="CM136" s="149"/>
      <c r="CN136" s="149"/>
      <c r="CO136" s="149"/>
      <c r="CP136" s="149"/>
      <c r="CQ136" s="149"/>
      <c r="CR136" s="149"/>
      <c r="CS136" s="149"/>
      <c r="CT136" s="149"/>
      <c r="CU136" s="149"/>
      <c r="CV136" s="149"/>
      <c r="CW136" s="149"/>
      <c r="CX136" s="149"/>
      <c r="CY136" s="149"/>
      <c r="CZ136" s="149"/>
      <c r="DA136" s="149"/>
      <c r="DB136" s="149"/>
      <c r="DC136" s="248"/>
      <c r="DD136" s="149"/>
      <c r="DE136" s="149"/>
      <c r="DF136" s="149"/>
      <c r="DG136" s="149"/>
      <c r="DH136" s="149"/>
      <c r="DI136" s="149"/>
      <c r="DJ136" s="149"/>
      <c r="DK136" s="149"/>
      <c r="DL136" s="149"/>
      <c r="DM136" s="149"/>
      <c r="DN136" s="149"/>
      <c r="DO136" s="149"/>
    </row>
    <row r="137" spans="1:119" ht="13.7" customHeight="1">
      <c r="A137" s="476"/>
      <c r="B137" s="476"/>
      <c r="C137" s="476"/>
      <c r="D137" s="476"/>
      <c r="E137" s="524"/>
      <c r="F137" s="524"/>
      <c r="G137" s="909">
        <v>10</v>
      </c>
      <c r="H137" s="161" t="str">
        <f>Einstrahlung!B55</f>
        <v>Stuttgart</v>
      </c>
      <c r="I137" s="244"/>
      <c r="J137" s="244"/>
      <c r="K137" s="161"/>
      <c r="L137" s="158"/>
      <c r="M137" s="524"/>
      <c r="N137" s="524"/>
      <c r="O137" s="524"/>
      <c r="P137" s="524"/>
      <c r="Q137" s="524"/>
      <c r="R137" s="524"/>
      <c r="S137" s="524"/>
      <c r="T137" s="524"/>
      <c r="U137" s="257"/>
      <c r="V137" s="149"/>
      <c r="W137" s="149"/>
      <c r="X137" s="149"/>
      <c r="Y137" s="149"/>
      <c r="Z137" s="149"/>
      <c r="AA137" s="149"/>
      <c r="AB137" s="149"/>
      <c r="AC137" s="149"/>
      <c r="AD137" s="149"/>
      <c r="AE137" s="149"/>
      <c r="AF137" s="149"/>
      <c r="AG137" s="149"/>
      <c r="AH137" s="149"/>
      <c r="AI137" s="248"/>
      <c r="AJ137" s="248"/>
      <c r="AK137" s="248"/>
      <c r="AL137" s="248"/>
      <c r="AM137" s="149"/>
      <c r="AN137" s="149"/>
      <c r="AO137" s="149"/>
      <c r="AP137" s="149"/>
      <c r="AQ137" s="149"/>
      <c r="AR137" s="149"/>
      <c r="AS137" s="149"/>
      <c r="AT137" s="149"/>
      <c r="AU137" s="149"/>
      <c r="AV137" s="149"/>
      <c r="AW137" s="149"/>
      <c r="AX137" s="149"/>
      <c r="AY137" s="149"/>
      <c r="AZ137" s="149"/>
      <c r="BA137" s="149"/>
      <c r="BB137" s="248"/>
      <c r="BC137" s="149"/>
      <c r="BD137" s="149"/>
      <c r="BE137" s="149"/>
      <c r="BF137" s="149"/>
      <c r="BG137" s="149"/>
      <c r="BH137" s="149"/>
      <c r="BI137" s="149"/>
      <c r="BJ137" s="149"/>
      <c r="BK137" s="149"/>
      <c r="BL137" s="149"/>
      <c r="BM137" s="149"/>
      <c r="BN137" s="149"/>
      <c r="BO137" s="149"/>
      <c r="BP137" s="149"/>
      <c r="BQ137" s="149"/>
      <c r="BR137" s="149"/>
      <c r="BS137" s="248"/>
      <c r="BT137" s="248"/>
      <c r="BU137" s="802"/>
      <c r="BV137" s="248"/>
      <c r="BW137" s="248"/>
      <c r="BX137" s="248"/>
      <c r="BY137" s="248"/>
      <c r="BZ137" s="248"/>
      <c r="CA137" s="248"/>
      <c r="CB137" s="248"/>
      <c r="CC137" s="248"/>
      <c r="CD137" s="248"/>
      <c r="CE137" s="248"/>
      <c r="CF137" s="248"/>
      <c r="CG137" s="248"/>
      <c r="CH137" s="248"/>
      <c r="CI137" s="248"/>
      <c r="CJ137" s="248"/>
      <c r="CK137" s="149"/>
      <c r="CL137" s="149"/>
      <c r="CM137" s="149"/>
      <c r="CN137" s="149"/>
      <c r="CO137" s="149"/>
      <c r="CP137" s="149"/>
      <c r="CQ137" s="149"/>
      <c r="CR137" s="149"/>
      <c r="CS137" s="149"/>
      <c r="CT137" s="149"/>
      <c r="CU137" s="149"/>
      <c r="CV137" s="149"/>
      <c r="CW137" s="149"/>
      <c r="CX137" s="149"/>
      <c r="CY137" s="149"/>
      <c r="CZ137" s="149"/>
      <c r="DA137" s="149"/>
      <c r="DB137" s="149"/>
      <c r="DC137" s="248"/>
      <c r="DD137" s="149"/>
      <c r="DE137" s="149"/>
      <c r="DF137" s="149"/>
      <c r="DG137" s="149"/>
      <c r="DH137" s="149"/>
      <c r="DI137" s="149"/>
      <c r="DJ137" s="149"/>
      <c r="DK137" s="149"/>
      <c r="DL137" s="149"/>
      <c r="DM137" s="149"/>
      <c r="DN137" s="149"/>
      <c r="DO137" s="149"/>
    </row>
    <row r="138" spans="1:119" ht="13.7" customHeight="1">
      <c r="A138" s="476"/>
      <c r="B138" s="476"/>
      <c r="C138" s="476"/>
      <c r="D138" s="476"/>
      <c r="E138" s="524"/>
      <c r="F138" s="524"/>
      <c r="G138" s="909">
        <v>11</v>
      </c>
      <c r="H138" s="161" t="str">
        <f>Einstrahlung!B56</f>
        <v>Ulm</v>
      </c>
      <c r="I138" s="244"/>
      <c r="J138" s="244"/>
      <c r="K138" s="161"/>
      <c r="L138" s="158"/>
      <c r="M138" s="524"/>
      <c r="N138" s="524"/>
      <c r="O138" s="524"/>
      <c r="P138" s="524"/>
      <c r="Q138" s="524"/>
      <c r="R138" s="524"/>
      <c r="S138" s="524"/>
      <c r="T138" s="524"/>
      <c r="U138" s="257"/>
      <c r="V138" s="149"/>
      <c r="W138" s="149"/>
      <c r="X138" s="149"/>
      <c r="Y138" s="149"/>
      <c r="Z138" s="149"/>
      <c r="AA138" s="149"/>
      <c r="AB138" s="149"/>
      <c r="AC138" s="149"/>
      <c r="AD138" s="149"/>
      <c r="AE138" s="149"/>
      <c r="AF138" s="149"/>
      <c r="AG138" s="149"/>
      <c r="AH138" s="149"/>
      <c r="AI138" s="248"/>
      <c r="AJ138" s="248"/>
      <c r="AK138" s="248"/>
      <c r="AL138" s="248"/>
      <c r="AM138" s="149"/>
      <c r="AN138" s="149"/>
      <c r="AO138" s="149"/>
      <c r="AP138" s="149"/>
      <c r="AQ138" s="149"/>
      <c r="AR138" s="149"/>
      <c r="AS138" s="149"/>
      <c r="AT138" s="149"/>
      <c r="AU138" s="149"/>
      <c r="AV138" s="149"/>
      <c r="AW138" s="149"/>
      <c r="AX138" s="149"/>
      <c r="AY138" s="149"/>
      <c r="AZ138" s="149"/>
      <c r="BA138" s="149"/>
      <c r="BB138" s="248"/>
      <c r="BC138" s="149"/>
      <c r="BD138" s="149"/>
      <c r="BE138" s="149"/>
      <c r="BF138" s="149"/>
      <c r="BG138" s="149"/>
      <c r="BH138" s="149"/>
      <c r="BI138" s="149"/>
      <c r="BJ138" s="149"/>
      <c r="BK138" s="149"/>
      <c r="BL138" s="149"/>
      <c r="BM138" s="149"/>
      <c r="BN138" s="149"/>
      <c r="BO138" s="149"/>
      <c r="BP138" s="149"/>
      <c r="BQ138" s="149"/>
      <c r="BR138" s="149"/>
      <c r="BS138" s="248"/>
      <c r="BT138" s="248"/>
      <c r="BU138" s="802"/>
      <c r="BV138" s="248"/>
      <c r="BW138" s="248"/>
      <c r="BX138" s="248"/>
      <c r="BY138" s="248"/>
      <c r="BZ138" s="248"/>
      <c r="CA138" s="248"/>
      <c r="CB138" s="248"/>
      <c r="CC138" s="248"/>
      <c r="CD138" s="248"/>
      <c r="CE138" s="248"/>
      <c r="CF138" s="248"/>
      <c r="CG138" s="248"/>
      <c r="CH138" s="248"/>
      <c r="CI138" s="248"/>
      <c r="CJ138" s="248"/>
      <c r="CK138" s="149"/>
      <c r="CL138" s="149"/>
      <c r="CM138" s="149"/>
      <c r="CN138" s="149"/>
      <c r="CO138" s="149"/>
      <c r="CP138" s="149"/>
      <c r="CQ138" s="149"/>
      <c r="CR138" s="149"/>
      <c r="CS138" s="149"/>
      <c r="CT138" s="149"/>
      <c r="CU138" s="149"/>
      <c r="CV138" s="149"/>
      <c r="CW138" s="149"/>
      <c r="CX138" s="149"/>
      <c r="CY138" s="149"/>
      <c r="CZ138" s="149"/>
      <c r="DA138" s="149"/>
      <c r="DB138" s="149"/>
      <c r="DC138" s="248"/>
      <c r="DD138" s="149"/>
      <c r="DE138" s="149"/>
      <c r="DF138" s="149"/>
      <c r="DG138" s="149"/>
      <c r="DH138" s="149"/>
      <c r="DI138" s="149"/>
      <c r="DJ138" s="149"/>
      <c r="DK138" s="149"/>
      <c r="DL138" s="149"/>
      <c r="DM138" s="149"/>
      <c r="DN138" s="149"/>
      <c r="DO138" s="149"/>
    </row>
    <row r="139" spans="1:119" ht="13.7" customHeight="1">
      <c r="A139" s="476"/>
      <c r="B139" s="476"/>
      <c r="C139" s="476"/>
      <c r="D139" s="476"/>
      <c r="E139" s="524"/>
      <c r="F139" s="524"/>
      <c r="G139" s="910">
        <v>12</v>
      </c>
      <c r="H139" s="163" t="str">
        <f>Einstrahlung!B57</f>
        <v>Würzburg</v>
      </c>
      <c r="I139" s="245"/>
      <c r="J139" s="245"/>
      <c r="K139" s="163"/>
      <c r="L139" s="159"/>
      <c r="M139" s="524"/>
      <c r="N139" s="524"/>
      <c r="O139" s="524"/>
      <c r="P139" s="524"/>
      <c r="Q139" s="524"/>
      <c r="R139" s="524"/>
      <c r="S139" s="524"/>
      <c r="T139" s="524"/>
      <c r="U139" s="257"/>
      <c r="V139" s="149"/>
      <c r="W139" s="149"/>
      <c r="X139" s="149"/>
      <c r="Y139" s="149"/>
      <c r="Z139" s="149"/>
      <c r="AA139" s="149"/>
      <c r="AB139" s="149"/>
      <c r="AC139" s="149"/>
      <c r="AD139" s="149"/>
      <c r="AE139" s="149"/>
      <c r="AF139" s="149"/>
      <c r="AG139" s="149"/>
      <c r="AH139" s="149"/>
      <c r="AI139" s="248"/>
      <c r="AJ139" s="248"/>
      <c r="AK139" s="248"/>
      <c r="AL139" s="248"/>
      <c r="AM139" s="149"/>
      <c r="AN139" s="149"/>
      <c r="AO139" s="149"/>
      <c r="AP139" s="149"/>
      <c r="AQ139" s="149"/>
      <c r="AR139" s="149"/>
      <c r="AS139" s="149"/>
      <c r="AT139" s="149"/>
      <c r="AU139" s="149"/>
      <c r="AV139" s="149"/>
      <c r="AW139" s="149"/>
      <c r="AX139" s="149"/>
      <c r="AY139" s="149"/>
      <c r="AZ139" s="149"/>
      <c r="BA139" s="149"/>
      <c r="BB139" s="248"/>
      <c r="BC139" s="149"/>
      <c r="BD139" s="149"/>
      <c r="BE139" s="149"/>
      <c r="BF139" s="149"/>
      <c r="BG139" s="149"/>
      <c r="BH139" s="149"/>
      <c r="BI139" s="149"/>
      <c r="BJ139" s="149"/>
      <c r="BK139" s="149"/>
      <c r="BL139" s="149"/>
      <c r="BM139" s="149"/>
      <c r="BN139" s="149"/>
      <c r="BO139" s="149"/>
      <c r="BP139" s="149"/>
      <c r="BQ139" s="149"/>
      <c r="BR139" s="149"/>
      <c r="BS139" s="248"/>
      <c r="BT139" s="248"/>
      <c r="BU139" s="802"/>
      <c r="BV139" s="248"/>
      <c r="BW139" s="248"/>
      <c r="BX139" s="248"/>
      <c r="BY139" s="248"/>
      <c r="BZ139" s="248"/>
      <c r="CA139" s="248"/>
      <c r="CB139" s="248"/>
      <c r="CC139" s="248"/>
      <c r="CD139" s="248"/>
      <c r="CE139" s="248"/>
      <c r="CF139" s="248"/>
      <c r="CG139" s="248"/>
      <c r="CH139" s="248"/>
      <c r="CI139" s="248"/>
      <c r="CJ139" s="248"/>
      <c r="CK139" s="149"/>
      <c r="CL139" s="149"/>
      <c r="CM139" s="149"/>
      <c r="CN139" s="149"/>
      <c r="CO139" s="149"/>
      <c r="CP139" s="149"/>
      <c r="CQ139" s="149"/>
      <c r="CR139" s="149"/>
      <c r="CS139" s="149"/>
      <c r="CT139" s="149"/>
      <c r="CU139" s="149"/>
      <c r="CV139" s="149"/>
      <c r="CW139" s="149"/>
      <c r="CX139" s="149"/>
      <c r="CY139" s="149"/>
      <c r="CZ139" s="149"/>
      <c r="DA139" s="149"/>
      <c r="DB139" s="149"/>
      <c r="DC139" s="248"/>
      <c r="DD139" s="149"/>
      <c r="DE139" s="149"/>
      <c r="DF139" s="149"/>
      <c r="DG139" s="149"/>
      <c r="DH139" s="149"/>
      <c r="DI139" s="149"/>
      <c r="DJ139" s="149"/>
      <c r="DK139" s="149"/>
      <c r="DL139" s="149"/>
      <c r="DM139" s="149"/>
      <c r="DN139" s="149"/>
      <c r="DO139" s="149"/>
    </row>
    <row r="140" spans="1:119" ht="13.7" customHeight="1">
      <c r="A140" s="476"/>
      <c r="B140" s="476"/>
      <c r="C140" s="476"/>
      <c r="D140" s="476"/>
      <c r="E140" s="524"/>
      <c r="F140" s="524"/>
      <c r="G140" s="11"/>
      <c r="H140" s="11"/>
      <c r="I140" s="11"/>
      <c r="J140" s="11"/>
      <c r="K140" s="11"/>
      <c r="L140" s="11"/>
      <c r="M140" s="524"/>
      <c r="N140" s="524"/>
      <c r="O140" s="524"/>
      <c r="P140" s="524"/>
      <c r="Q140" s="524"/>
      <c r="R140" s="524"/>
      <c r="S140" s="524"/>
      <c r="T140" s="524"/>
      <c r="U140" s="257"/>
      <c r="V140" s="149"/>
      <c r="W140" s="149"/>
      <c r="X140" s="149"/>
      <c r="Y140" s="149"/>
      <c r="Z140" s="149"/>
      <c r="AA140" s="149"/>
      <c r="AB140" s="149"/>
      <c r="AC140" s="149"/>
      <c r="AD140" s="149"/>
      <c r="AE140" s="149"/>
      <c r="AF140" s="149"/>
      <c r="AG140" s="149"/>
      <c r="AH140" s="149"/>
      <c r="AI140" s="248"/>
      <c r="AJ140" s="248"/>
      <c r="AK140" s="248"/>
      <c r="AL140" s="248"/>
      <c r="AM140" s="149"/>
      <c r="AN140" s="149"/>
      <c r="AO140" s="149"/>
      <c r="AP140" s="149"/>
      <c r="AQ140" s="149"/>
      <c r="AR140" s="149"/>
      <c r="AS140" s="149"/>
      <c r="AT140" s="149"/>
      <c r="AU140" s="149"/>
      <c r="AV140" s="149"/>
      <c r="AW140" s="149"/>
      <c r="AX140" s="149"/>
      <c r="AY140" s="149"/>
      <c r="AZ140" s="149"/>
      <c r="BA140" s="149"/>
      <c r="BB140" s="248"/>
      <c r="BC140" s="149"/>
      <c r="BD140" s="149"/>
      <c r="BE140" s="149"/>
      <c r="BF140" s="149"/>
      <c r="BG140" s="149"/>
      <c r="BH140" s="149"/>
      <c r="BI140" s="149"/>
      <c r="BJ140" s="149"/>
      <c r="BK140" s="149"/>
      <c r="BL140" s="149"/>
      <c r="BM140" s="149"/>
      <c r="BN140" s="149"/>
      <c r="BO140" s="149"/>
      <c r="BP140" s="149"/>
      <c r="BQ140" s="149"/>
      <c r="BR140" s="149"/>
      <c r="BS140" s="248"/>
      <c r="BT140" s="248"/>
      <c r="BU140" s="802"/>
      <c r="BV140" s="248"/>
      <c r="BW140" s="248"/>
      <c r="BX140" s="248"/>
      <c r="BY140" s="248"/>
      <c r="BZ140" s="248"/>
      <c r="CA140" s="248"/>
      <c r="CB140" s="248"/>
      <c r="CC140" s="248"/>
      <c r="CD140" s="248"/>
      <c r="CE140" s="248"/>
      <c r="CF140" s="248"/>
      <c r="CG140" s="248"/>
      <c r="CH140" s="248"/>
      <c r="CI140" s="248"/>
      <c r="CJ140" s="248"/>
      <c r="CK140" s="149"/>
      <c r="CL140" s="149"/>
      <c r="CM140" s="149"/>
      <c r="CN140" s="149"/>
      <c r="CO140" s="149"/>
      <c r="CP140" s="149"/>
      <c r="CQ140" s="149"/>
      <c r="CR140" s="149"/>
      <c r="CS140" s="149"/>
      <c r="CT140" s="149"/>
      <c r="CU140" s="149"/>
      <c r="CV140" s="149"/>
      <c r="CW140" s="149"/>
      <c r="CX140" s="149"/>
      <c r="CY140" s="149"/>
      <c r="CZ140" s="149"/>
      <c r="DA140" s="149"/>
      <c r="DB140" s="149"/>
      <c r="DC140" s="248"/>
      <c r="DD140" s="149"/>
      <c r="DE140" s="149"/>
      <c r="DF140" s="149"/>
      <c r="DG140" s="149"/>
      <c r="DH140" s="149"/>
      <c r="DI140" s="149"/>
      <c r="DJ140" s="149"/>
      <c r="DK140" s="149"/>
      <c r="DL140" s="149"/>
      <c r="DM140" s="149"/>
      <c r="DN140" s="149"/>
      <c r="DO140" s="149"/>
    </row>
    <row r="141" spans="1:119" ht="13.7" customHeight="1">
      <c r="A141" s="476"/>
      <c r="B141" s="476"/>
      <c r="C141" s="476"/>
      <c r="D141" s="476"/>
      <c r="E141" s="524"/>
      <c r="F141" s="524"/>
      <c r="G141" s="156" t="s">
        <v>203</v>
      </c>
      <c r="H141" s="164"/>
      <c r="I141" s="164"/>
      <c r="J141" s="164"/>
      <c r="K141" s="164"/>
      <c r="L141" s="157"/>
      <c r="M141" s="524"/>
      <c r="N141" s="524"/>
      <c r="O141" s="524"/>
      <c r="P141" s="524"/>
      <c r="Q141" s="524"/>
      <c r="R141" s="524"/>
      <c r="S141" s="524"/>
      <c r="T141" s="524"/>
      <c r="U141" s="257"/>
      <c r="V141" s="149"/>
      <c r="W141" s="149"/>
      <c r="X141" s="149"/>
      <c r="Y141" s="149"/>
      <c r="Z141" s="149"/>
      <c r="AA141" s="149"/>
      <c r="AB141" s="149"/>
      <c r="AC141" s="149"/>
      <c r="AD141" s="149"/>
      <c r="AE141" s="149"/>
      <c r="AF141" s="149"/>
      <c r="AG141" s="149"/>
      <c r="AH141" s="149"/>
      <c r="AI141" s="248"/>
      <c r="AJ141" s="248"/>
      <c r="AK141" s="248"/>
      <c r="AL141" s="248"/>
      <c r="AM141" s="149"/>
      <c r="AN141" s="149"/>
      <c r="AO141" s="149"/>
      <c r="AP141" s="149"/>
      <c r="AQ141" s="149"/>
      <c r="AR141" s="149"/>
      <c r="AS141" s="149"/>
      <c r="AT141" s="149"/>
      <c r="AU141" s="149"/>
      <c r="AV141" s="149"/>
      <c r="AW141" s="149"/>
      <c r="AX141" s="149"/>
      <c r="AY141" s="149"/>
      <c r="AZ141" s="149"/>
      <c r="BA141" s="149"/>
      <c r="BB141" s="248"/>
      <c r="BC141" s="149"/>
      <c r="BD141" s="149"/>
      <c r="BE141" s="149"/>
      <c r="BF141" s="149"/>
      <c r="BG141" s="149"/>
      <c r="BH141" s="149"/>
      <c r="BI141" s="149"/>
      <c r="BJ141" s="149"/>
      <c r="BK141" s="149"/>
      <c r="BL141" s="149"/>
      <c r="BM141" s="149"/>
      <c r="BN141" s="149"/>
      <c r="BO141" s="149"/>
      <c r="BP141" s="149"/>
      <c r="BQ141" s="149"/>
      <c r="BR141" s="149"/>
      <c r="BS141" s="248"/>
      <c r="BT141" s="248"/>
      <c r="BU141" s="802"/>
      <c r="BV141" s="248"/>
      <c r="BW141" s="248"/>
      <c r="BX141" s="248"/>
      <c r="BY141" s="248"/>
      <c r="BZ141" s="248"/>
      <c r="CA141" s="248"/>
      <c r="CB141" s="248"/>
      <c r="CC141" s="248"/>
      <c r="CD141" s="248"/>
      <c r="CE141" s="248"/>
      <c r="CF141" s="248"/>
      <c r="CG141" s="248"/>
      <c r="CH141" s="248"/>
      <c r="CI141" s="248"/>
      <c r="CJ141" s="248"/>
      <c r="CK141" s="149"/>
      <c r="CL141" s="149"/>
      <c r="CM141" s="149"/>
      <c r="CN141" s="149"/>
      <c r="CO141" s="149"/>
      <c r="CP141" s="149"/>
      <c r="CQ141" s="149"/>
      <c r="CR141" s="149"/>
      <c r="CS141" s="149"/>
      <c r="CT141" s="149"/>
      <c r="CU141" s="149"/>
      <c r="CV141" s="149"/>
      <c r="CW141" s="149"/>
      <c r="CX141" s="149"/>
      <c r="CY141" s="149"/>
      <c r="CZ141" s="149"/>
      <c r="DA141" s="149"/>
      <c r="DB141" s="149"/>
      <c r="DC141" s="248"/>
      <c r="DD141" s="149"/>
      <c r="DE141" s="149"/>
      <c r="DF141" s="149"/>
      <c r="DG141" s="149"/>
      <c r="DH141" s="149"/>
      <c r="DI141" s="149"/>
      <c r="DJ141" s="149"/>
      <c r="DK141" s="149"/>
      <c r="DL141" s="149"/>
      <c r="DM141" s="149"/>
      <c r="DN141" s="149"/>
      <c r="DO141" s="149"/>
    </row>
    <row r="142" spans="1:119" ht="13.7" customHeight="1">
      <c r="A142" s="476"/>
      <c r="B142" s="476"/>
      <c r="C142" s="476"/>
      <c r="D142" s="476"/>
      <c r="E142" s="524"/>
      <c r="F142" s="524"/>
      <c r="G142" s="909">
        <v>1</v>
      </c>
      <c r="H142" s="161" t="s">
        <v>127</v>
      </c>
      <c r="I142" s="244"/>
      <c r="J142" s="244"/>
      <c r="K142" s="161"/>
      <c r="L142" s="158"/>
      <c r="M142" s="524"/>
      <c r="N142" s="524"/>
      <c r="O142" s="524"/>
      <c r="P142" s="524"/>
      <c r="Q142" s="524"/>
      <c r="R142" s="524"/>
      <c r="S142" s="524"/>
      <c r="T142" s="524"/>
      <c r="U142" s="257"/>
      <c r="V142" s="149"/>
      <c r="W142" s="149"/>
      <c r="X142" s="149"/>
      <c r="Y142" s="149"/>
      <c r="Z142" s="149"/>
      <c r="AA142" s="149"/>
      <c r="AB142" s="149"/>
      <c r="AC142" s="149"/>
      <c r="AD142" s="149"/>
      <c r="AE142" s="149"/>
      <c r="AF142" s="149"/>
      <c r="AG142" s="149"/>
      <c r="AH142" s="149"/>
      <c r="AI142" s="248"/>
      <c r="AJ142" s="248"/>
      <c r="AK142" s="248"/>
      <c r="AL142" s="248"/>
      <c r="AM142" s="149"/>
      <c r="AN142" s="149"/>
      <c r="AO142" s="149"/>
      <c r="AP142" s="149"/>
      <c r="AQ142" s="149"/>
      <c r="AR142" s="149"/>
      <c r="AS142" s="149"/>
      <c r="AT142" s="149"/>
      <c r="AU142" s="149"/>
      <c r="AV142" s="149"/>
      <c r="AW142" s="149"/>
      <c r="AX142" s="149"/>
      <c r="AY142" s="149"/>
      <c r="AZ142" s="149"/>
      <c r="BA142" s="149"/>
      <c r="BB142" s="248"/>
      <c r="BC142" s="149"/>
      <c r="BD142" s="149"/>
      <c r="BE142" s="149"/>
      <c r="BF142" s="149"/>
      <c r="BG142" s="149"/>
      <c r="BH142" s="149"/>
      <c r="BI142" s="149"/>
      <c r="BJ142" s="149"/>
      <c r="BK142" s="149"/>
      <c r="BL142" s="149"/>
      <c r="BM142" s="149"/>
      <c r="BN142" s="149"/>
      <c r="BO142" s="149"/>
      <c r="BP142" s="149"/>
      <c r="BQ142" s="149"/>
      <c r="BR142" s="149"/>
      <c r="BS142" s="248"/>
      <c r="BT142" s="248"/>
      <c r="BU142" s="802"/>
      <c r="BV142" s="248"/>
      <c r="BW142" s="248"/>
      <c r="BX142" s="248"/>
      <c r="BY142" s="248"/>
      <c r="BZ142" s="248"/>
      <c r="CA142" s="248"/>
      <c r="CB142" s="248"/>
      <c r="CC142" s="248"/>
      <c r="CD142" s="248"/>
      <c r="CE142" s="248"/>
      <c r="CF142" s="248"/>
      <c r="CG142" s="248"/>
      <c r="CH142" s="248"/>
      <c r="CI142" s="248"/>
      <c r="CJ142" s="248"/>
      <c r="CK142" s="149"/>
      <c r="CL142" s="149"/>
      <c r="CM142" s="149"/>
      <c r="CN142" s="149"/>
      <c r="CO142" s="149"/>
      <c r="CP142" s="149"/>
      <c r="CQ142" s="149"/>
      <c r="CR142" s="149"/>
      <c r="CS142" s="149"/>
      <c r="CT142" s="149"/>
      <c r="CU142" s="149"/>
      <c r="CV142" s="149"/>
      <c r="CW142" s="149"/>
      <c r="CX142" s="149"/>
      <c r="CY142" s="149"/>
      <c r="CZ142" s="149"/>
      <c r="DA142" s="149"/>
      <c r="DB142" s="149"/>
      <c r="DC142" s="248"/>
      <c r="DD142" s="149"/>
      <c r="DE142" s="149"/>
      <c r="DF142" s="149"/>
      <c r="DG142" s="149"/>
      <c r="DH142" s="149"/>
      <c r="DI142" s="149"/>
      <c r="DJ142" s="149"/>
      <c r="DK142" s="149"/>
      <c r="DL142" s="149"/>
      <c r="DM142" s="149"/>
      <c r="DN142" s="149"/>
      <c r="DO142" s="149"/>
    </row>
    <row r="143" spans="1:119" ht="13.7" customHeight="1">
      <c r="A143" s="476"/>
      <c r="B143" s="476"/>
      <c r="C143" s="476"/>
      <c r="D143" s="476"/>
      <c r="E143" s="524"/>
      <c r="F143" s="524"/>
      <c r="G143" s="909">
        <v>2</v>
      </c>
      <c r="H143" s="161" t="s">
        <v>129</v>
      </c>
      <c r="I143" s="244"/>
      <c r="J143" s="244"/>
      <c r="K143" s="161"/>
      <c r="L143" s="158"/>
      <c r="M143" s="524"/>
      <c r="N143" s="524"/>
      <c r="O143" s="524"/>
      <c r="P143" s="524"/>
      <c r="Q143" s="524"/>
      <c r="R143" s="524"/>
      <c r="S143" s="524"/>
      <c r="T143" s="524"/>
      <c r="U143" s="257"/>
      <c r="V143" s="149"/>
      <c r="W143" s="149"/>
      <c r="X143" s="149"/>
      <c r="Y143" s="149"/>
      <c r="Z143" s="149"/>
      <c r="AA143" s="149"/>
      <c r="AB143" s="149"/>
      <c r="AC143" s="149"/>
      <c r="AD143" s="149"/>
      <c r="AE143" s="149"/>
      <c r="AF143" s="149"/>
      <c r="AG143" s="149"/>
      <c r="AH143" s="149"/>
      <c r="AI143" s="248"/>
      <c r="AJ143" s="248"/>
      <c r="AK143" s="248"/>
      <c r="AL143" s="248"/>
      <c r="AM143" s="149"/>
      <c r="AN143" s="149"/>
      <c r="AO143" s="149"/>
      <c r="AP143" s="149"/>
      <c r="AQ143" s="149"/>
      <c r="AR143" s="149"/>
      <c r="AS143" s="149"/>
      <c r="AT143" s="149"/>
      <c r="AU143" s="149"/>
      <c r="AV143" s="149"/>
      <c r="AW143" s="149"/>
      <c r="AX143" s="149"/>
      <c r="AY143" s="149"/>
      <c r="AZ143" s="149"/>
      <c r="BA143" s="149"/>
      <c r="BB143" s="248"/>
      <c r="BC143" s="149"/>
      <c r="BD143" s="149"/>
      <c r="BE143" s="149"/>
      <c r="BF143" s="149"/>
      <c r="BG143" s="149"/>
      <c r="BH143" s="149"/>
      <c r="BI143" s="149"/>
      <c r="BJ143" s="149"/>
      <c r="BK143" s="149"/>
      <c r="BL143" s="149"/>
      <c r="BM143" s="149"/>
      <c r="BN143" s="149"/>
      <c r="BO143" s="149"/>
      <c r="BP143" s="149"/>
      <c r="BQ143" s="149"/>
      <c r="BR143" s="149"/>
      <c r="BS143" s="248"/>
      <c r="BT143" s="248"/>
      <c r="BU143" s="802"/>
      <c r="BV143" s="248"/>
      <c r="BW143" s="248"/>
      <c r="BX143" s="248"/>
      <c r="BY143" s="248"/>
      <c r="BZ143" s="248"/>
      <c r="CA143" s="248"/>
      <c r="CB143" s="248"/>
      <c r="CC143" s="248"/>
      <c r="CD143" s="248"/>
      <c r="CE143" s="248"/>
      <c r="CF143" s="248"/>
      <c r="CG143" s="248"/>
      <c r="CH143" s="248"/>
      <c r="CI143" s="248"/>
      <c r="CJ143" s="248"/>
      <c r="CK143" s="149"/>
      <c r="CL143" s="149"/>
      <c r="CM143" s="149"/>
      <c r="CN143" s="149"/>
      <c r="CO143" s="149"/>
      <c r="CP143" s="149"/>
      <c r="CQ143" s="149"/>
      <c r="CR143" s="149"/>
      <c r="CS143" s="149"/>
      <c r="CT143" s="149"/>
      <c r="CU143" s="149"/>
      <c r="CV143" s="149"/>
      <c r="CW143" s="149"/>
      <c r="CX143" s="149"/>
      <c r="CY143" s="149"/>
      <c r="CZ143" s="149"/>
      <c r="DA143" s="149"/>
      <c r="DB143" s="149"/>
      <c r="DC143" s="248"/>
      <c r="DD143" s="149"/>
      <c r="DE143" s="149"/>
      <c r="DF143" s="149"/>
      <c r="DG143" s="149"/>
      <c r="DH143" s="149"/>
      <c r="DI143" s="149"/>
      <c r="DJ143" s="149"/>
      <c r="DK143" s="149"/>
      <c r="DL143" s="149"/>
      <c r="DM143" s="149"/>
      <c r="DN143" s="149"/>
      <c r="DO143" s="149"/>
    </row>
    <row r="144" spans="1:119" ht="13.7" customHeight="1">
      <c r="A144" s="476"/>
      <c r="B144" s="476"/>
      <c r="C144" s="476"/>
      <c r="D144" s="476"/>
      <c r="E144" s="524"/>
      <c r="F144" s="524"/>
      <c r="G144" s="909">
        <v>3</v>
      </c>
      <c r="H144" s="161" t="s">
        <v>145</v>
      </c>
      <c r="I144" s="244"/>
      <c r="J144" s="244"/>
      <c r="K144" s="161"/>
      <c r="L144" s="158"/>
      <c r="M144" s="524"/>
      <c r="N144" s="524"/>
      <c r="O144" s="524"/>
      <c r="P144" s="524"/>
      <c r="Q144" s="524"/>
      <c r="R144" s="524"/>
      <c r="S144" s="524"/>
      <c r="T144" s="524"/>
      <c r="U144" s="257"/>
      <c r="V144" s="149"/>
      <c r="W144" s="149"/>
      <c r="X144" s="149"/>
      <c r="Y144" s="149"/>
      <c r="Z144" s="149"/>
      <c r="AA144" s="149"/>
      <c r="AB144" s="149"/>
      <c r="AC144" s="149"/>
      <c r="AD144" s="149"/>
      <c r="AE144" s="149"/>
      <c r="AF144" s="149"/>
      <c r="AG144" s="149"/>
      <c r="AH144" s="149"/>
      <c r="AI144" s="248"/>
      <c r="AJ144" s="248"/>
      <c r="AK144" s="248"/>
      <c r="AL144" s="248"/>
      <c r="AM144" s="149"/>
      <c r="AN144" s="149"/>
      <c r="AO144" s="149"/>
      <c r="AP144" s="149"/>
      <c r="AQ144" s="149"/>
      <c r="AR144" s="149"/>
      <c r="AS144" s="149"/>
      <c r="AT144" s="149"/>
      <c r="AU144" s="149"/>
      <c r="AV144" s="149"/>
      <c r="AW144" s="149"/>
      <c r="AX144" s="149"/>
      <c r="AY144" s="149"/>
      <c r="AZ144" s="149"/>
      <c r="BA144" s="149"/>
      <c r="BB144" s="248"/>
      <c r="BC144" s="149"/>
      <c r="BD144" s="149"/>
      <c r="BE144" s="149"/>
      <c r="BF144" s="149"/>
      <c r="BG144" s="149"/>
      <c r="BH144" s="149"/>
      <c r="BI144" s="149"/>
      <c r="BJ144" s="149"/>
      <c r="BK144" s="149"/>
      <c r="BL144" s="149"/>
      <c r="BM144" s="149"/>
      <c r="BN144" s="149"/>
      <c r="BO144" s="149"/>
      <c r="BP144" s="149"/>
      <c r="BQ144" s="149"/>
      <c r="BR144" s="149"/>
      <c r="BS144" s="248"/>
      <c r="BT144" s="248"/>
      <c r="BU144" s="802"/>
      <c r="BV144" s="248"/>
      <c r="BW144" s="248"/>
      <c r="BX144" s="248"/>
      <c r="BY144" s="248"/>
      <c r="BZ144" s="248"/>
      <c r="CA144" s="248"/>
      <c r="CB144" s="248"/>
      <c r="CC144" s="248"/>
      <c r="CD144" s="248"/>
      <c r="CE144" s="248"/>
      <c r="CF144" s="248"/>
      <c r="CG144" s="248"/>
      <c r="CH144" s="248"/>
      <c r="CI144" s="248"/>
      <c r="CJ144" s="248"/>
      <c r="CK144" s="149"/>
      <c r="CL144" s="149"/>
      <c r="CM144" s="149"/>
      <c r="CN144" s="149"/>
      <c r="CO144" s="149"/>
      <c r="CP144" s="149"/>
      <c r="CQ144" s="149"/>
      <c r="CR144" s="149"/>
      <c r="CS144" s="149"/>
      <c r="CT144" s="149"/>
      <c r="CU144" s="149"/>
      <c r="CV144" s="149"/>
      <c r="CW144" s="149"/>
      <c r="CX144" s="149"/>
      <c r="CY144" s="149"/>
      <c r="CZ144" s="149"/>
      <c r="DA144" s="149"/>
      <c r="DB144" s="149"/>
      <c r="DC144" s="248"/>
      <c r="DD144" s="149"/>
      <c r="DE144" s="149"/>
      <c r="DF144" s="149"/>
      <c r="DG144" s="149"/>
      <c r="DH144" s="149"/>
      <c r="DI144" s="149"/>
      <c r="DJ144" s="149"/>
      <c r="DK144" s="149"/>
      <c r="DL144" s="149"/>
      <c r="DM144" s="149"/>
      <c r="DN144" s="149"/>
      <c r="DO144" s="149"/>
    </row>
    <row r="145" spans="1:119" ht="12.75">
      <c r="A145" s="476"/>
      <c r="B145" s="476"/>
      <c r="C145" s="476"/>
      <c r="D145" s="476"/>
      <c r="E145" s="524"/>
      <c r="F145" s="524"/>
      <c r="G145" s="909">
        <v>4</v>
      </c>
      <c r="H145" s="161" t="s">
        <v>131</v>
      </c>
      <c r="I145" s="244"/>
      <c r="J145" s="244"/>
      <c r="K145" s="161"/>
      <c r="L145" s="158"/>
      <c r="M145" s="524"/>
      <c r="N145" s="524"/>
      <c r="O145" s="524"/>
      <c r="P145" s="524"/>
      <c r="Q145" s="524"/>
      <c r="R145" s="524"/>
      <c r="S145" s="524"/>
      <c r="T145" s="524"/>
      <c r="U145" s="257"/>
      <c r="V145" s="149"/>
      <c r="W145" s="149"/>
      <c r="X145" s="149"/>
      <c r="Y145" s="149"/>
      <c r="Z145" s="149"/>
      <c r="AA145" s="149"/>
      <c r="AB145" s="149"/>
      <c r="AC145" s="149"/>
      <c r="AD145" s="149"/>
      <c r="AE145" s="149"/>
      <c r="AF145" s="149"/>
      <c r="AG145" s="149"/>
      <c r="AH145" s="149"/>
      <c r="AI145" s="248"/>
      <c r="AJ145" s="248"/>
      <c r="AK145" s="248"/>
      <c r="AL145" s="248"/>
      <c r="AM145" s="149"/>
      <c r="AN145" s="149"/>
      <c r="AO145" s="149"/>
      <c r="AP145" s="149"/>
      <c r="AQ145" s="149"/>
      <c r="AR145" s="149"/>
      <c r="AS145" s="149"/>
      <c r="AT145" s="149"/>
      <c r="AU145" s="149"/>
      <c r="AV145" s="149"/>
      <c r="AW145" s="149"/>
      <c r="AX145" s="149"/>
      <c r="AY145" s="149"/>
      <c r="AZ145" s="149"/>
      <c r="BA145" s="149"/>
      <c r="BB145" s="248"/>
      <c r="BC145" s="149"/>
      <c r="BD145" s="149"/>
      <c r="BE145" s="149"/>
      <c r="BF145" s="149"/>
      <c r="BG145" s="149"/>
      <c r="BH145" s="149"/>
      <c r="BI145" s="149"/>
      <c r="BJ145" s="149"/>
      <c r="BK145" s="149"/>
      <c r="BL145" s="149"/>
      <c r="BM145" s="149"/>
      <c r="BN145" s="149"/>
      <c r="BO145" s="149"/>
      <c r="BP145" s="149"/>
      <c r="BQ145" s="149"/>
      <c r="BR145" s="149"/>
      <c r="BS145" s="248"/>
      <c r="BT145" s="248"/>
      <c r="BU145" s="802"/>
      <c r="BV145" s="248"/>
      <c r="BW145" s="248"/>
      <c r="BX145" s="248"/>
      <c r="BY145" s="248"/>
      <c r="BZ145" s="248"/>
      <c r="CA145" s="248"/>
      <c r="CB145" s="248"/>
      <c r="CC145" s="248"/>
      <c r="CD145" s="248"/>
      <c r="CE145" s="248"/>
      <c r="CF145" s="248"/>
      <c r="CG145" s="248"/>
      <c r="CH145" s="248"/>
      <c r="CI145" s="248"/>
      <c r="CJ145" s="248"/>
      <c r="CK145" s="149"/>
      <c r="CL145" s="149"/>
      <c r="CM145" s="149"/>
      <c r="CN145" s="149"/>
      <c r="CO145" s="149"/>
      <c r="CP145" s="149"/>
      <c r="CQ145" s="149"/>
      <c r="CR145" s="149"/>
      <c r="CS145" s="149"/>
      <c r="CT145" s="149"/>
      <c r="CU145" s="149"/>
      <c r="CV145" s="149"/>
      <c r="CW145" s="149"/>
      <c r="CX145" s="149"/>
      <c r="CY145" s="149"/>
      <c r="CZ145" s="149"/>
      <c r="DA145" s="149"/>
      <c r="DB145" s="149"/>
      <c r="DC145" s="248"/>
      <c r="DD145" s="149"/>
      <c r="DE145" s="149"/>
      <c r="DF145" s="149"/>
      <c r="DG145" s="149"/>
      <c r="DH145" s="149"/>
      <c r="DI145" s="149"/>
      <c r="DJ145" s="149"/>
      <c r="DK145" s="149"/>
      <c r="DL145" s="149"/>
      <c r="DM145" s="149"/>
      <c r="DN145" s="149"/>
      <c r="DO145" s="149"/>
    </row>
    <row r="146" spans="1:119" ht="12.75">
      <c r="A146" s="476"/>
      <c r="B146" s="476"/>
      <c r="C146" s="476"/>
      <c r="D146" s="476"/>
      <c r="E146" s="524"/>
      <c r="F146" s="524"/>
      <c r="G146" s="909">
        <v>5</v>
      </c>
      <c r="H146" s="161" t="s">
        <v>132</v>
      </c>
      <c r="I146" s="244"/>
      <c r="J146" s="244"/>
      <c r="K146" s="161"/>
      <c r="L146" s="158"/>
      <c r="M146" s="524"/>
      <c r="N146" s="524"/>
      <c r="O146" s="524"/>
      <c r="P146" s="524"/>
      <c r="Q146" s="524"/>
      <c r="R146" s="524"/>
      <c r="S146" s="524"/>
      <c r="T146" s="524"/>
      <c r="U146" s="257"/>
      <c r="V146" s="149"/>
      <c r="W146" s="149"/>
      <c r="X146" s="149"/>
      <c r="Y146" s="149"/>
      <c r="Z146" s="149"/>
      <c r="AA146" s="149"/>
      <c r="AB146" s="149"/>
      <c r="AC146" s="149"/>
      <c r="AD146" s="149"/>
      <c r="AE146" s="149"/>
      <c r="AF146" s="149"/>
      <c r="AG146" s="149"/>
      <c r="AH146" s="149"/>
      <c r="AI146" s="248"/>
      <c r="AJ146" s="248"/>
      <c r="AK146" s="248"/>
      <c r="AL146" s="248"/>
      <c r="AM146" s="149"/>
      <c r="AN146" s="149"/>
      <c r="AO146" s="149"/>
      <c r="AP146" s="149"/>
      <c r="AQ146" s="149"/>
      <c r="AR146" s="149"/>
      <c r="AS146" s="149"/>
      <c r="AT146" s="149"/>
      <c r="AU146" s="149"/>
      <c r="AV146" s="149"/>
      <c r="AW146" s="149"/>
      <c r="AX146" s="149"/>
      <c r="AY146" s="149"/>
      <c r="AZ146" s="149"/>
      <c r="BA146" s="149"/>
      <c r="BB146" s="248"/>
      <c r="BC146" s="149"/>
      <c r="BD146" s="149"/>
      <c r="BE146" s="149"/>
      <c r="BF146" s="149"/>
      <c r="BG146" s="149"/>
      <c r="BH146" s="149"/>
      <c r="BI146" s="149"/>
      <c r="BJ146" s="149"/>
      <c r="BK146" s="149"/>
      <c r="BL146" s="149"/>
      <c r="BM146" s="149"/>
      <c r="BN146" s="149"/>
      <c r="BO146" s="149"/>
      <c r="BP146" s="149"/>
      <c r="BQ146" s="149"/>
      <c r="BR146" s="149"/>
      <c r="BS146" s="248"/>
      <c r="BT146" s="248"/>
      <c r="BU146" s="802"/>
      <c r="BV146" s="248"/>
      <c r="BW146" s="248"/>
      <c r="BX146" s="248"/>
      <c r="BY146" s="248"/>
      <c r="BZ146" s="248"/>
      <c r="CA146" s="248"/>
      <c r="CB146" s="248"/>
      <c r="CC146" s="248"/>
      <c r="CD146" s="248"/>
      <c r="CE146" s="248"/>
      <c r="CF146" s="248"/>
      <c r="CG146" s="248"/>
      <c r="CH146" s="248"/>
      <c r="CI146" s="248"/>
      <c r="CJ146" s="248"/>
      <c r="CK146" s="149"/>
      <c r="CL146" s="149"/>
      <c r="CM146" s="149"/>
      <c r="CN146" s="149"/>
      <c r="CO146" s="149"/>
      <c r="CP146" s="149"/>
      <c r="CQ146" s="149"/>
      <c r="CR146" s="149"/>
      <c r="CS146" s="149"/>
      <c r="CT146" s="149"/>
      <c r="CU146" s="149"/>
      <c r="CV146" s="149"/>
      <c r="CW146" s="149"/>
      <c r="CX146" s="149"/>
      <c r="CY146" s="149"/>
      <c r="CZ146" s="149"/>
      <c r="DA146" s="149"/>
      <c r="DB146" s="149"/>
      <c r="DC146" s="248"/>
      <c r="DD146" s="149"/>
      <c r="DE146" s="149"/>
      <c r="DF146" s="149"/>
      <c r="DG146" s="149"/>
      <c r="DH146" s="149"/>
      <c r="DI146" s="149"/>
      <c r="DJ146" s="149"/>
      <c r="DK146" s="149"/>
      <c r="DL146" s="149"/>
      <c r="DM146" s="149"/>
      <c r="DN146" s="149"/>
      <c r="DO146" s="149"/>
    </row>
    <row r="147" spans="1:119" ht="12.75">
      <c r="A147" s="476"/>
      <c r="B147" s="476"/>
      <c r="C147" s="476"/>
      <c r="D147" s="476"/>
      <c r="E147" s="524"/>
      <c r="F147" s="524"/>
      <c r="G147" s="909">
        <v>6</v>
      </c>
      <c r="H147" s="161" t="s">
        <v>133</v>
      </c>
      <c r="I147" s="244"/>
      <c r="J147" s="244"/>
      <c r="K147" s="161"/>
      <c r="L147" s="158"/>
      <c r="M147" s="524"/>
      <c r="N147" s="524"/>
      <c r="O147" s="524"/>
      <c r="P147" s="524"/>
      <c r="Q147" s="524"/>
      <c r="R147" s="524"/>
      <c r="S147" s="524"/>
      <c r="T147" s="524"/>
      <c r="U147" s="257"/>
      <c r="V147" s="149"/>
      <c r="W147" s="149"/>
      <c r="X147" s="149"/>
      <c r="Y147" s="149"/>
      <c r="Z147" s="149"/>
      <c r="AA147" s="149"/>
      <c r="AB147" s="149"/>
      <c r="AC147" s="149"/>
      <c r="AD147" s="149"/>
      <c r="AE147" s="149"/>
      <c r="AF147" s="149"/>
      <c r="AG147" s="149"/>
      <c r="AH147" s="149"/>
      <c r="AI147" s="248"/>
      <c r="AJ147" s="248"/>
      <c r="AK147" s="248"/>
      <c r="AL147" s="248"/>
      <c r="AM147" s="149"/>
      <c r="AN147" s="149"/>
      <c r="AO147" s="149"/>
      <c r="AP147" s="149"/>
      <c r="AQ147" s="149"/>
      <c r="AR147" s="149"/>
      <c r="AS147" s="149"/>
      <c r="AT147" s="149"/>
      <c r="AU147" s="149"/>
      <c r="AV147" s="149"/>
      <c r="AW147" s="149"/>
      <c r="AX147" s="149"/>
      <c r="AY147" s="149"/>
      <c r="AZ147" s="149"/>
      <c r="BA147" s="149"/>
      <c r="BB147" s="248"/>
      <c r="BC147" s="149"/>
      <c r="BD147" s="149"/>
      <c r="BE147" s="149"/>
      <c r="BF147" s="149"/>
      <c r="BG147" s="149"/>
      <c r="BH147" s="149"/>
      <c r="BI147" s="149"/>
      <c r="BJ147" s="149"/>
      <c r="BK147" s="149"/>
      <c r="BL147" s="149"/>
      <c r="BM147" s="149"/>
      <c r="BN147" s="149"/>
      <c r="BO147" s="149"/>
      <c r="BP147" s="149"/>
      <c r="BQ147" s="149"/>
      <c r="BR147" s="149"/>
      <c r="BS147" s="248"/>
      <c r="BT147" s="248"/>
      <c r="BU147" s="802"/>
      <c r="BV147" s="248"/>
      <c r="BW147" s="248"/>
      <c r="BX147" s="248"/>
      <c r="BY147" s="248"/>
      <c r="BZ147" s="248"/>
      <c r="CA147" s="248"/>
      <c r="CB147" s="248"/>
      <c r="CC147" s="248"/>
      <c r="CD147" s="248"/>
      <c r="CE147" s="248"/>
      <c r="CF147" s="248"/>
      <c r="CG147" s="248"/>
      <c r="CH147" s="248"/>
      <c r="CI147" s="248"/>
      <c r="CJ147" s="248"/>
      <c r="CK147" s="149"/>
      <c r="CL147" s="149"/>
      <c r="CM147" s="149"/>
      <c r="CN147" s="149"/>
      <c r="CO147" s="149"/>
      <c r="CP147" s="149"/>
      <c r="CQ147" s="149"/>
      <c r="CR147" s="149"/>
      <c r="CS147" s="149"/>
      <c r="CT147" s="149"/>
      <c r="CU147" s="149"/>
      <c r="CV147" s="149"/>
      <c r="CW147" s="149"/>
      <c r="CX147" s="149"/>
      <c r="CY147" s="149"/>
      <c r="CZ147" s="149"/>
      <c r="DA147" s="149"/>
      <c r="DB147" s="149"/>
      <c r="DC147" s="248"/>
      <c r="DD147" s="149"/>
      <c r="DE147" s="149"/>
      <c r="DF147" s="149"/>
      <c r="DG147" s="149"/>
      <c r="DH147" s="149"/>
      <c r="DI147" s="149"/>
      <c r="DJ147" s="149"/>
      <c r="DK147" s="149"/>
      <c r="DL147" s="149"/>
      <c r="DM147" s="149"/>
      <c r="DN147" s="149"/>
      <c r="DO147" s="149"/>
    </row>
    <row r="148" spans="1:119" ht="12.75">
      <c r="A148" s="476"/>
      <c r="B148" s="476"/>
      <c r="C148" s="476"/>
      <c r="D148" s="476"/>
      <c r="E148" s="524"/>
      <c r="F148" s="524"/>
      <c r="G148" s="909">
        <v>7</v>
      </c>
      <c r="H148" s="161" t="s">
        <v>134</v>
      </c>
      <c r="I148" s="244"/>
      <c r="J148" s="244"/>
      <c r="K148" s="161"/>
      <c r="L148" s="158"/>
      <c r="M148" s="524"/>
      <c r="N148" s="524"/>
      <c r="O148" s="524"/>
      <c r="P148" s="524"/>
      <c r="Q148" s="524"/>
      <c r="R148" s="524"/>
      <c r="S148" s="524"/>
      <c r="T148" s="524"/>
      <c r="U148" s="257"/>
      <c r="V148" s="149"/>
      <c r="W148" s="149"/>
      <c r="X148" s="149"/>
      <c r="Y148" s="149"/>
      <c r="Z148" s="149"/>
      <c r="AA148" s="149"/>
      <c r="AB148" s="149"/>
      <c r="AC148" s="149"/>
      <c r="AD148" s="149"/>
      <c r="AE148" s="149"/>
      <c r="AF148" s="149"/>
      <c r="AG148" s="149"/>
      <c r="AH148" s="149"/>
      <c r="AI148" s="248"/>
      <c r="AJ148" s="248"/>
      <c r="AK148" s="248"/>
      <c r="AL148" s="248"/>
      <c r="AM148" s="149"/>
      <c r="AN148" s="149"/>
      <c r="AO148" s="149"/>
      <c r="AP148" s="149"/>
      <c r="AQ148" s="149"/>
      <c r="AR148" s="149"/>
      <c r="AS148" s="149"/>
      <c r="AT148" s="149"/>
      <c r="AU148" s="149"/>
      <c r="AV148" s="149"/>
      <c r="AW148" s="149"/>
      <c r="AX148" s="149"/>
      <c r="AY148" s="149"/>
      <c r="AZ148" s="149"/>
      <c r="BA148" s="149"/>
      <c r="BB148" s="248"/>
      <c r="BC148" s="149"/>
      <c r="BD148" s="149"/>
      <c r="BE148" s="149"/>
      <c r="BF148" s="149"/>
      <c r="BG148" s="149"/>
      <c r="BH148" s="149"/>
      <c r="BI148" s="149"/>
      <c r="BJ148" s="149"/>
      <c r="BK148" s="149"/>
      <c r="BL148" s="149"/>
      <c r="BM148" s="149"/>
      <c r="BN148" s="149"/>
      <c r="BO148" s="149"/>
      <c r="BP148" s="149"/>
      <c r="BQ148" s="149"/>
      <c r="BR148" s="149"/>
      <c r="BS148" s="248"/>
      <c r="BT148" s="248"/>
      <c r="BU148" s="802"/>
      <c r="BV148" s="248"/>
      <c r="BW148" s="248"/>
      <c r="BX148" s="248"/>
      <c r="BY148" s="248"/>
      <c r="BZ148" s="248"/>
      <c r="CA148" s="248"/>
      <c r="CB148" s="248"/>
      <c r="CC148" s="248"/>
      <c r="CD148" s="248"/>
      <c r="CE148" s="248"/>
      <c r="CF148" s="248"/>
      <c r="CG148" s="248"/>
      <c r="CH148" s="248"/>
      <c r="CI148" s="248"/>
      <c r="CJ148" s="248"/>
      <c r="CK148" s="149"/>
      <c r="CL148" s="149"/>
      <c r="CM148" s="149"/>
      <c r="CN148" s="149"/>
      <c r="CO148" s="149"/>
      <c r="CP148" s="149"/>
      <c r="CQ148" s="149"/>
      <c r="CR148" s="149"/>
      <c r="CS148" s="149"/>
      <c r="CT148" s="149"/>
      <c r="CU148" s="149"/>
      <c r="CV148" s="149"/>
      <c r="CW148" s="149"/>
      <c r="CX148" s="149"/>
      <c r="CY148" s="149"/>
      <c r="CZ148" s="149"/>
      <c r="DA148" s="149"/>
      <c r="DB148" s="149"/>
      <c r="DC148" s="248"/>
      <c r="DD148" s="149"/>
      <c r="DE148" s="149"/>
      <c r="DF148" s="149"/>
      <c r="DG148" s="149"/>
      <c r="DH148" s="149"/>
      <c r="DI148" s="149"/>
      <c r="DJ148" s="149"/>
      <c r="DK148" s="149"/>
      <c r="DL148" s="149"/>
      <c r="DM148" s="149"/>
      <c r="DN148" s="149"/>
      <c r="DO148" s="149"/>
    </row>
    <row r="149" spans="1:119" ht="12.75">
      <c r="A149" s="476"/>
      <c r="B149" s="476"/>
      <c r="C149" s="476"/>
      <c r="D149" s="476"/>
      <c r="E149" s="524"/>
      <c r="F149" s="524"/>
      <c r="G149" s="909">
        <v>8</v>
      </c>
      <c r="H149" s="161" t="s">
        <v>135</v>
      </c>
      <c r="I149" s="244"/>
      <c r="J149" s="244"/>
      <c r="K149" s="161"/>
      <c r="L149" s="158"/>
      <c r="M149" s="524"/>
      <c r="N149" s="524"/>
      <c r="O149" s="524"/>
      <c r="P149" s="524"/>
      <c r="Q149" s="524"/>
      <c r="R149" s="524"/>
      <c r="S149" s="524"/>
      <c r="T149" s="524"/>
      <c r="U149" s="257"/>
      <c r="V149" s="149"/>
      <c r="W149" s="149"/>
      <c r="X149" s="149"/>
      <c r="Y149" s="149"/>
      <c r="Z149" s="149"/>
      <c r="AA149" s="149"/>
      <c r="AB149" s="149"/>
      <c r="AC149" s="149"/>
      <c r="AD149" s="149"/>
      <c r="AE149" s="149"/>
      <c r="AF149" s="149"/>
      <c r="AG149" s="149"/>
      <c r="AH149" s="149"/>
      <c r="AI149" s="248"/>
      <c r="AJ149" s="248"/>
      <c r="AK149" s="248"/>
      <c r="AL149" s="248"/>
      <c r="AM149" s="149"/>
      <c r="AN149" s="149"/>
      <c r="AO149" s="149"/>
      <c r="AP149" s="149"/>
      <c r="AQ149" s="149"/>
      <c r="AR149" s="149"/>
      <c r="AS149" s="149"/>
      <c r="AT149" s="149"/>
      <c r="AU149" s="149"/>
      <c r="AV149" s="149"/>
      <c r="AW149" s="149"/>
      <c r="AX149" s="149"/>
      <c r="AY149" s="149"/>
      <c r="AZ149" s="149"/>
      <c r="BA149" s="149"/>
      <c r="BB149" s="248"/>
      <c r="BC149" s="149"/>
      <c r="BD149" s="149"/>
      <c r="BE149" s="149"/>
      <c r="BF149" s="149"/>
      <c r="BG149" s="149"/>
      <c r="BH149" s="149"/>
      <c r="BI149" s="149"/>
      <c r="BJ149" s="149"/>
      <c r="BK149" s="149"/>
      <c r="BL149" s="149"/>
      <c r="BM149" s="149"/>
      <c r="BN149" s="149"/>
      <c r="BO149" s="149"/>
      <c r="BP149" s="149"/>
      <c r="BQ149" s="149"/>
      <c r="BR149" s="149"/>
      <c r="BS149" s="248"/>
      <c r="BT149" s="248"/>
      <c r="BU149" s="802"/>
      <c r="BV149" s="248"/>
      <c r="BW149" s="248"/>
      <c r="BX149" s="248"/>
      <c r="BY149" s="248"/>
      <c r="BZ149" s="248"/>
      <c r="CA149" s="248"/>
      <c r="CB149" s="248"/>
      <c r="CC149" s="248"/>
      <c r="CD149" s="248"/>
      <c r="CE149" s="248"/>
      <c r="CF149" s="248"/>
      <c r="CG149" s="248"/>
      <c r="CH149" s="248"/>
      <c r="CI149" s="248"/>
      <c r="CJ149" s="248"/>
      <c r="CK149" s="149"/>
      <c r="CL149" s="149"/>
      <c r="CM149" s="149"/>
      <c r="CN149" s="149"/>
      <c r="CO149" s="149"/>
      <c r="CP149" s="149"/>
      <c r="CQ149" s="149"/>
      <c r="CR149" s="149"/>
      <c r="CS149" s="149"/>
      <c r="CT149" s="149"/>
      <c r="CU149" s="149"/>
      <c r="CV149" s="149"/>
      <c r="CW149" s="149"/>
      <c r="CX149" s="149"/>
      <c r="CY149" s="149"/>
      <c r="CZ149" s="149"/>
      <c r="DA149" s="149"/>
      <c r="DB149" s="149"/>
      <c r="DC149" s="248"/>
      <c r="DD149" s="149"/>
      <c r="DE149" s="149"/>
      <c r="DF149" s="149"/>
      <c r="DG149" s="149"/>
      <c r="DH149" s="149"/>
      <c r="DI149" s="149"/>
      <c r="DJ149" s="149"/>
      <c r="DK149" s="149"/>
      <c r="DL149" s="149"/>
      <c r="DM149" s="149"/>
      <c r="DN149" s="149"/>
      <c r="DO149" s="149"/>
    </row>
    <row r="150" spans="1:119" ht="12.75">
      <c r="A150" s="476"/>
      <c r="B150" s="476"/>
      <c r="C150" s="476"/>
      <c r="D150" s="476"/>
      <c r="E150" s="524"/>
      <c r="F150" s="524"/>
      <c r="G150" s="909">
        <v>9</v>
      </c>
      <c r="H150" s="161" t="s">
        <v>136</v>
      </c>
      <c r="I150" s="244"/>
      <c r="J150" s="244"/>
      <c r="K150" s="161"/>
      <c r="L150" s="158"/>
      <c r="M150" s="524"/>
      <c r="N150" s="524"/>
      <c r="O150" s="524"/>
      <c r="P150" s="524"/>
      <c r="Q150" s="524"/>
      <c r="R150" s="524"/>
      <c r="S150" s="524"/>
      <c r="T150" s="524"/>
      <c r="U150" s="257"/>
      <c r="V150" s="149"/>
      <c r="W150" s="149"/>
      <c r="X150" s="149"/>
      <c r="Y150" s="149"/>
      <c r="Z150" s="149"/>
      <c r="AA150" s="149"/>
      <c r="AB150" s="149"/>
      <c r="AC150" s="149"/>
      <c r="AD150" s="149"/>
      <c r="AE150" s="149"/>
      <c r="AF150" s="149"/>
      <c r="AG150" s="149"/>
      <c r="AH150" s="149"/>
      <c r="AI150" s="248"/>
      <c r="AJ150" s="248"/>
      <c r="AK150" s="248"/>
      <c r="AL150" s="248"/>
      <c r="AM150" s="149"/>
      <c r="AN150" s="149"/>
      <c r="AO150" s="149"/>
      <c r="AP150" s="149"/>
      <c r="AQ150" s="149"/>
      <c r="AR150" s="149"/>
      <c r="AS150" s="149"/>
      <c r="AT150" s="149"/>
      <c r="AU150" s="149"/>
      <c r="AV150" s="149"/>
      <c r="AW150" s="149"/>
      <c r="AX150" s="149"/>
      <c r="AY150" s="149"/>
      <c r="AZ150" s="149"/>
      <c r="BA150" s="149"/>
      <c r="BB150" s="248"/>
      <c r="BC150" s="149"/>
      <c r="BD150" s="149"/>
      <c r="BE150" s="149"/>
      <c r="BF150" s="149"/>
      <c r="BG150" s="149"/>
      <c r="BH150" s="149"/>
      <c r="BI150" s="149"/>
      <c r="BJ150" s="149"/>
      <c r="BK150" s="149"/>
      <c r="BL150" s="149"/>
      <c r="BM150" s="149"/>
      <c r="BN150" s="149"/>
      <c r="BO150" s="149"/>
      <c r="BP150" s="149"/>
      <c r="BQ150" s="149"/>
      <c r="BR150" s="149"/>
      <c r="BS150" s="248"/>
      <c r="BT150" s="248"/>
      <c r="BU150" s="802"/>
      <c r="BV150" s="248"/>
      <c r="BW150" s="248"/>
      <c r="BX150" s="248"/>
      <c r="BY150" s="248"/>
      <c r="BZ150" s="248"/>
      <c r="CA150" s="248"/>
      <c r="CB150" s="248"/>
      <c r="CC150" s="248"/>
      <c r="CD150" s="248"/>
      <c r="CE150" s="248"/>
      <c r="CF150" s="248"/>
      <c r="CG150" s="248"/>
      <c r="CH150" s="248"/>
      <c r="CI150" s="248"/>
      <c r="CJ150" s="248"/>
      <c r="CK150" s="149"/>
      <c r="CL150" s="149"/>
      <c r="CM150" s="149"/>
      <c r="CN150" s="149"/>
      <c r="CO150" s="149"/>
      <c r="CP150" s="149"/>
      <c r="CQ150" s="149"/>
      <c r="CR150" s="149"/>
      <c r="CS150" s="149"/>
      <c r="CT150" s="149"/>
      <c r="CU150" s="149"/>
      <c r="CV150" s="149"/>
      <c r="CW150" s="149"/>
      <c r="CX150" s="149"/>
      <c r="CY150" s="149"/>
      <c r="CZ150" s="149"/>
      <c r="DA150" s="149"/>
      <c r="DB150" s="149"/>
      <c r="DC150" s="248"/>
      <c r="DD150" s="149"/>
      <c r="DE150" s="149"/>
      <c r="DF150" s="149"/>
      <c r="DG150" s="149"/>
      <c r="DH150" s="149"/>
      <c r="DI150" s="149"/>
      <c r="DJ150" s="149"/>
      <c r="DK150" s="149"/>
      <c r="DL150" s="149"/>
      <c r="DM150" s="149"/>
      <c r="DN150" s="149"/>
      <c r="DO150" s="149"/>
    </row>
    <row r="151" spans="1:119" ht="12.75">
      <c r="A151" s="476"/>
      <c r="B151" s="476"/>
      <c r="C151" s="476"/>
      <c r="D151" s="476"/>
      <c r="E151" s="524"/>
      <c r="F151" s="524"/>
      <c r="G151" s="909">
        <v>10</v>
      </c>
      <c r="H151" s="161" t="s">
        <v>137</v>
      </c>
      <c r="I151" s="244"/>
      <c r="J151" s="244"/>
      <c r="K151" s="161"/>
      <c r="L151" s="158"/>
      <c r="M151" s="524"/>
      <c r="N151" s="524"/>
      <c r="O151" s="524"/>
      <c r="P151" s="524"/>
      <c r="Q151" s="524"/>
      <c r="R151" s="524"/>
      <c r="S151" s="524"/>
      <c r="T151" s="524"/>
      <c r="U151" s="257"/>
      <c r="V151" s="149"/>
      <c r="W151" s="149"/>
      <c r="X151" s="149"/>
      <c r="Y151" s="149"/>
      <c r="Z151" s="149"/>
      <c r="AA151" s="149"/>
      <c r="AB151" s="149"/>
      <c r="AC151" s="149"/>
      <c r="AD151" s="149"/>
      <c r="AE151" s="149"/>
      <c r="AF151" s="149"/>
      <c r="AG151" s="149"/>
      <c r="AH151" s="149"/>
      <c r="AI151" s="248"/>
      <c r="AJ151" s="248"/>
      <c r="AK151" s="248"/>
      <c r="AL151" s="248"/>
      <c r="AM151" s="149"/>
      <c r="AN151" s="149"/>
      <c r="AO151" s="149"/>
      <c r="AP151" s="149"/>
      <c r="AQ151" s="149"/>
      <c r="AR151" s="149"/>
      <c r="AS151" s="149"/>
      <c r="AT151" s="149"/>
      <c r="AU151" s="149"/>
      <c r="AV151" s="149"/>
      <c r="AW151" s="149"/>
      <c r="AX151" s="149"/>
      <c r="AY151" s="149"/>
      <c r="AZ151" s="149"/>
      <c r="BA151" s="149"/>
      <c r="BB151" s="248"/>
      <c r="BC151" s="149"/>
      <c r="BD151" s="149"/>
      <c r="BE151" s="149"/>
      <c r="BF151" s="149"/>
      <c r="BG151" s="149"/>
      <c r="BH151" s="149"/>
      <c r="BI151" s="149"/>
      <c r="BJ151" s="149"/>
      <c r="BK151" s="149"/>
      <c r="BL151" s="149"/>
      <c r="BM151" s="149"/>
      <c r="BN151" s="149"/>
      <c r="BO151" s="149"/>
      <c r="BP151" s="149"/>
      <c r="BQ151" s="149"/>
      <c r="BR151" s="149"/>
      <c r="BS151" s="248"/>
      <c r="BT151" s="248"/>
      <c r="BU151" s="802"/>
      <c r="BV151" s="248"/>
      <c r="BW151" s="248"/>
      <c r="BX151" s="248"/>
      <c r="BY151" s="248"/>
      <c r="BZ151" s="248"/>
      <c r="CA151" s="248"/>
      <c r="CB151" s="248"/>
      <c r="CC151" s="248"/>
      <c r="CD151" s="248"/>
      <c r="CE151" s="248"/>
      <c r="CF151" s="248"/>
      <c r="CG151" s="248"/>
      <c r="CH151" s="248"/>
      <c r="CI151" s="248"/>
      <c r="CJ151" s="248"/>
      <c r="CK151" s="149"/>
      <c r="CL151" s="149"/>
      <c r="CM151" s="149"/>
      <c r="CN151" s="149"/>
      <c r="CO151" s="149"/>
      <c r="CP151" s="149"/>
      <c r="CQ151" s="149"/>
      <c r="CR151" s="149"/>
      <c r="CS151" s="149"/>
      <c r="CT151" s="149"/>
      <c r="CU151" s="149"/>
      <c r="CV151" s="149"/>
      <c r="CW151" s="149"/>
      <c r="CX151" s="149"/>
      <c r="CY151" s="149"/>
      <c r="CZ151" s="149"/>
      <c r="DA151" s="149"/>
      <c r="DB151" s="149"/>
      <c r="DC151" s="248"/>
      <c r="DD151" s="149"/>
      <c r="DE151" s="149"/>
      <c r="DF151" s="149"/>
      <c r="DG151" s="149"/>
      <c r="DH151" s="149"/>
      <c r="DI151" s="149"/>
      <c r="DJ151" s="149"/>
      <c r="DK151" s="149"/>
      <c r="DL151" s="149"/>
      <c r="DM151" s="149"/>
      <c r="DN151" s="149"/>
      <c r="DO151" s="149"/>
    </row>
    <row r="152" spans="1:119" ht="12.75">
      <c r="A152" s="476"/>
      <c r="B152" s="476"/>
      <c r="C152" s="476"/>
      <c r="D152" s="476"/>
      <c r="E152" s="524"/>
      <c r="F152" s="524"/>
      <c r="G152" s="909">
        <v>11</v>
      </c>
      <c r="H152" s="161" t="s">
        <v>138</v>
      </c>
      <c r="I152" s="244"/>
      <c r="J152" s="244"/>
      <c r="K152" s="161"/>
      <c r="L152" s="158"/>
      <c r="M152" s="524"/>
      <c r="N152" s="524"/>
      <c r="O152" s="524"/>
      <c r="P152" s="524"/>
      <c r="Q152" s="524"/>
      <c r="R152" s="524"/>
      <c r="S152" s="524"/>
      <c r="T152" s="524"/>
      <c r="U152" s="257"/>
      <c r="V152" s="149"/>
      <c r="W152" s="149"/>
      <c r="X152" s="149"/>
      <c r="Y152" s="149"/>
      <c r="Z152" s="149"/>
      <c r="AA152" s="149"/>
      <c r="AB152" s="149"/>
      <c r="AC152" s="149"/>
      <c r="AD152" s="149"/>
      <c r="AE152" s="149"/>
      <c r="AF152" s="149"/>
      <c r="AG152" s="149"/>
      <c r="AH152" s="149"/>
      <c r="AI152" s="248"/>
      <c r="AJ152" s="248"/>
      <c r="AK152" s="248"/>
      <c r="AL152" s="248"/>
      <c r="AM152" s="149"/>
      <c r="AN152" s="149"/>
      <c r="AO152" s="149"/>
      <c r="AP152" s="149"/>
      <c r="AQ152" s="149"/>
      <c r="AR152" s="149"/>
      <c r="AS152" s="149"/>
      <c r="AT152" s="149"/>
      <c r="AU152" s="149"/>
      <c r="AV152" s="149"/>
      <c r="AW152" s="149"/>
      <c r="AX152" s="149"/>
      <c r="AY152" s="149"/>
      <c r="AZ152" s="149"/>
      <c r="BA152" s="149"/>
      <c r="BB152" s="248"/>
      <c r="BC152" s="149"/>
      <c r="BD152" s="149"/>
      <c r="BE152" s="149"/>
      <c r="BF152" s="149"/>
      <c r="BG152" s="149"/>
      <c r="BH152" s="149"/>
      <c r="BI152" s="149"/>
      <c r="BJ152" s="149"/>
      <c r="BK152" s="149"/>
      <c r="BL152" s="149"/>
      <c r="BM152" s="149"/>
      <c r="BN152" s="149"/>
      <c r="BO152" s="149"/>
      <c r="BP152" s="149"/>
      <c r="BQ152" s="149"/>
      <c r="BR152" s="149"/>
      <c r="BS152" s="248"/>
      <c r="BT152" s="248"/>
      <c r="BU152" s="802"/>
      <c r="BV152" s="248"/>
      <c r="BW152" s="248"/>
      <c r="BX152" s="248"/>
      <c r="BY152" s="248"/>
      <c r="BZ152" s="248"/>
      <c r="CA152" s="248"/>
      <c r="CB152" s="248"/>
      <c r="CC152" s="248"/>
      <c r="CD152" s="248"/>
      <c r="CE152" s="248"/>
      <c r="CF152" s="248"/>
      <c r="CG152" s="248"/>
      <c r="CH152" s="248"/>
      <c r="CI152" s="248"/>
      <c r="CJ152" s="248"/>
      <c r="CK152" s="149"/>
      <c r="CL152" s="149"/>
      <c r="CM152" s="149"/>
      <c r="CN152" s="149"/>
      <c r="CO152" s="149"/>
      <c r="CP152" s="149"/>
      <c r="CQ152" s="149"/>
      <c r="CR152" s="149"/>
      <c r="CS152" s="149"/>
      <c r="CT152" s="149"/>
      <c r="CU152" s="149"/>
      <c r="CV152" s="149"/>
      <c r="CW152" s="149"/>
      <c r="CX152" s="149"/>
      <c r="CY152" s="149"/>
      <c r="CZ152" s="149"/>
      <c r="DA152" s="149"/>
      <c r="DB152" s="149"/>
      <c r="DC152" s="248"/>
      <c r="DD152" s="149"/>
      <c r="DE152" s="149"/>
      <c r="DF152" s="149"/>
      <c r="DG152" s="149"/>
      <c r="DH152" s="149"/>
      <c r="DI152" s="149"/>
      <c r="DJ152" s="149"/>
      <c r="DK152" s="149"/>
      <c r="DL152" s="149"/>
      <c r="DM152" s="149"/>
      <c r="DN152" s="149"/>
      <c r="DO152" s="149"/>
    </row>
    <row r="153" spans="1:119" ht="12.75">
      <c r="A153" s="476"/>
      <c r="B153" s="476"/>
      <c r="C153" s="476"/>
      <c r="D153" s="476"/>
      <c r="E153" s="524"/>
      <c r="F153" s="524"/>
      <c r="G153" s="910">
        <v>12</v>
      </c>
      <c r="H153" s="163" t="s">
        <v>139</v>
      </c>
      <c r="I153" s="245"/>
      <c r="J153" s="245"/>
      <c r="K153" s="163"/>
      <c r="L153" s="159"/>
      <c r="M153" s="524"/>
      <c r="N153" s="524"/>
      <c r="O153" s="524"/>
      <c r="P153" s="524"/>
      <c r="Q153" s="524"/>
      <c r="R153" s="524"/>
      <c r="S153" s="524"/>
      <c r="T153" s="524"/>
      <c r="U153" s="257"/>
      <c r="V153" s="149"/>
      <c r="W153" s="149"/>
      <c r="X153" s="149"/>
      <c r="Y153" s="149"/>
      <c r="Z153" s="149"/>
      <c r="AA153" s="149"/>
      <c r="AB153" s="149"/>
      <c r="AC153" s="149"/>
      <c r="AD153" s="149"/>
      <c r="AE153" s="149"/>
      <c r="AF153" s="149"/>
      <c r="AG153" s="149"/>
      <c r="AH153" s="149"/>
      <c r="AI153" s="248"/>
      <c r="AJ153" s="248"/>
      <c r="AK153" s="248"/>
      <c r="AL153" s="248"/>
      <c r="AM153" s="149"/>
      <c r="AN153" s="149"/>
      <c r="AO153" s="149"/>
      <c r="AP153" s="149"/>
      <c r="AQ153" s="149"/>
      <c r="AR153" s="149"/>
      <c r="AS153" s="149"/>
      <c r="AT153" s="149"/>
      <c r="AU153" s="149"/>
      <c r="AV153" s="149"/>
      <c r="AW153" s="149"/>
      <c r="AX153" s="149"/>
      <c r="AY153" s="149"/>
      <c r="AZ153" s="149"/>
      <c r="BA153" s="149"/>
      <c r="BB153" s="248"/>
      <c r="BC153" s="149"/>
      <c r="BD153" s="149"/>
      <c r="BE153" s="149"/>
      <c r="BF153" s="149"/>
      <c r="BG153" s="149"/>
      <c r="BH153" s="149"/>
      <c r="BI153" s="149"/>
      <c r="BJ153" s="149"/>
      <c r="BK153" s="149"/>
      <c r="BL153" s="149"/>
      <c r="BM153" s="149"/>
      <c r="BN153" s="149"/>
      <c r="BO153" s="149"/>
      <c r="BP153" s="149"/>
      <c r="BQ153" s="149"/>
      <c r="BR153" s="149"/>
      <c r="BS153" s="248"/>
      <c r="BT153" s="248"/>
      <c r="BU153" s="802"/>
      <c r="BV153" s="248"/>
      <c r="BW153" s="248"/>
      <c r="BX153" s="248"/>
      <c r="BY153" s="248"/>
      <c r="BZ153" s="248"/>
      <c r="CA153" s="248"/>
      <c r="CB153" s="248"/>
      <c r="CC153" s="248"/>
      <c r="CD153" s="248"/>
      <c r="CE153" s="248"/>
      <c r="CF153" s="248"/>
      <c r="CG153" s="248"/>
      <c r="CH153" s="248"/>
      <c r="CI153" s="248"/>
      <c r="CJ153" s="248"/>
      <c r="CK153" s="149"/>
      <c r="CL153" s="149"/>
      <c r="CM153" s="149"/>
      <c r="CN153" s="149"/>
      <c r="CO153" s="149"/>
      <c r="CP153" s="149"/>
      <c r="CQ153" s="149"/>
      <c r="CR153" s="149"/>
      <c r="CS153" s="149"/>
      <c r="CT153" s="149"/>
      <c r="CU153" s="149"/>
      <c r="CV153" s="149"/>
      <c r="CW153" s="149"/>
      <c r="CX153" s="149"/>
      <c r="CY153" s="149"/>
      <c r="CZ153" s="149"/>
      <c r="DA153" s="149"/>
      <c r="DB153" s="149"/>
      <c r="DC153" s="248"/>
      <c r="DD153" s="149"/>
      <c r="DE153" s="149"/>
      <c r="DF153" s="149"/>
      <c r="DG153" s="149"/>
      <c r="DH153" s="149"/>
      <c r="DI153" s="149"/>
      <c r="DJ153" s="149"/>
      <c r="DK153" s="149"/>
      <c r="DL153" s="149"/>
      <c r="DM153" s="149"/>
      <c r="DN153" s="149"/>
      <c r="DO153" s="149"/>
    </row>
    <row r="154" spans="1:119" ht="12.75">
      <c r="A154" s="476"/>
      <c r="B154" s="476"/>
      <c r="C154" s="476"/>
      <c r="D154" s="476"/>
      <c r="E154" s="524"/>
      <c r="F154" s="524"/>
      <c r="G154" s="524"/>
      <c r="H154" s="524"/>
      <c r="I154" s="524"/>
      <c r="J154" s="524"/>
      <c r="K154" s="524"/>
      <c r="L154" s="524"/>
      <c r="M154" s="524"/>
      <c r="N154" s="524"/>
      <c r="O154" s="524"/>
      <c r="P154" s="524"/>
      <c r="Q154" s="524"/>
      <c r="R154" s="524"/>
      <c r="S154" s="524"/>
      <c r="T154" s="524"/>
      <c r="U154" s="257"/>
      <c r="V154" s="149"/>
      <c r="W154" s="149"/>
      <c r="X154" s="149"/>
      <c r="Y154" s="149"/>
      <c r="Z154" s="149"/>
      <c r="AA154" s="149"/>
      <c r="AB154" s="149"/>
      <c r="AC154" s="149"/>
      <c r="AD154" s="149"/>
      <c r="AE154" s="149"/>
      <c r="AF154" s="149"/>
      <c r="AG154" s="149"/>
      <c r="AH154" s="149"/>
      <c r="AI154" s="248"/>
      <c r="AJ154" s="248"/>
      <c r="AK154" s="248"/>
      <c r="AL154" s="248"/>
      <c r="AM154" s="149"/>
      <c r="AN154" s="149"/>
      <c r="AO154" s="149"/>
      <c r="AP154" s="149"/>
      <c r="AQ154" s="149"/>
      <c r="AR154" s="149"/>
      <c r="AS154" s="149"/>
      <c r="AT154" s="149"/>
      <c r="AU154" s="149"/>
      <c r="AV154" s="149"/>
      <c r="AW154" s="149"/>
      <c r="AX154" s="149"/>
      <c r="AY154" s="149"/>
      <c r="AZ154" s="149"/>
      <c r="BA154" s="149"/>
      <c r="BB154" s="248"/>
      <c r="BC154" s="149"/>
      <c r="BD154" s="149"/>
      <c r="BE154" s="149"/>
      <c r="BF154" s="149"/>
      <c r="BG154" s="149"/>
      <c r="BH154" s="149"/>
      <c r="BI154" s="149"/>
      <c r="BJ154" s="149"/>
      <c r="BK154" s="149"/>
      <c r="BL154" s="149"/>
      <c r="BM154" s="149"/>
      <c r="BN154" s="149"/>
      <c r="BO154" s="149"/>
      <c r="BP154" s="149"/>
      <c r="BQ154" s="149"/>
      <c r="BR154" s="149"/>
      <c r="BS154" s="248"/>
      <c r="BT154" s="248"/>
      <c r="BU154" s="802"/>
      <c r="BV154" s="248"/>
      <c r="BW154" s="248"/>
      <c r="BX154" s="248"/>
      <c r="BY154" s="248"/>
      <c r="BZ154" s="248"/>
      <c r="CA154" s="248"/>
      <c r="CB154" s="248"/>
      <c r="CC154" s="248"/>
      <c r="CD154" s="248"/>
      <c r="CE154" s="248"/>
      <c r="CF154" s="248"/>
      <c r="CG154" s="248"/>
      <c r="CH154" s="248"/>
      <c r="CI154" s="248"/>
      <c r="CJ154" s="248"/>
      <c r="CK154" s="149"/>
      <c r="CL154" s="149"/>
      <c r="CM154" s="149"/>
      <c r="CN154" s="149"/>
      <c r="CO154" s="149"/>
      <c r="CP154" s="149"/>
      <c r="CQ154" s="149"/>
      <c r="CR154" s="149"/>
      <c r="CS154" s="149"/>
      <c r="CT154" s="149"/>
      <c r="CU154" s="149"/>
      <c r="CV154" s="149"/>
      <c r="CW154" s="149"/>
      <c r="CX154" s="149"/>
      <c r="CY154" s="149"/>
      <c r="CZ154" s="149"/>
      <c r="DA154" s="149"/>
      <c r="DB154" s="149"/>
      <c r="DC154" s="248"/>
      <c r="DD154" s="149"/>
      <c r="DE154" s="149"/>
      <c r="DF154" s="149"/>
      <c r="DG154" s="149"/>
      <c r="DH154" s="149"/>
      <c r="DI154" s="149"/>
      <c r="DJ154" s="149"/>
      <c r="DK154" s="149"/>
      <c r="DL154" s="149"/>
      <c r="DM154" s="149"/>
      <c r="DN154" s="149"/>
      <c r="DO154" s="149"/>
    </row>
    <row r="155" spans="1:119" ht="12.75">
      <c r="A155" s="476"/>
      <c r="B155" s="476"/>
      <c r="C155" s="476"/>
      <c r="D155" s="476"/>
      <c r="E155" s="524"/>
      <c r="F155" s="524"/>
      <c r="G155" s="524"/>
      <c r="H155" s="524"/>
      <c r="I155" s="524"/>
      <c r="J155" s="524"/>
      <c r="K155" s="524"/>
      <c r="L155" s="524"/>
      <c r="M155" s="524"/>
      <c r="N155" s="524"/>
      <c r="O155" s="524"/>
      <c r="P155" s="524"/>
      <c r="Q155" s="524"/>
      <c r="R155" s="524"/>
      <c r="S155" s="524"/>
      <c r="T155" s="524"/>
      <c r="U155" s="257"/>
      <c r="V155" s="149"/>
      <c r="W155" s="149"/>
      <c r="X155" s="149"/>
      <c r="Y155" s="149"/>
      <c r="Z155" s="149"/>
      <c r="AA155" s="149"/>
      <c r="AB155" s="149"/>
      <c r="AC155" s="149"/>
      <c r="AD155" s="149"/>
      <c r="AE155" s="149"/>
      <c r="AF155" s="149"/>
      <c r="AG155" s="149"/>
      <c r="AH155" s="149"/>
      <c r="AI155" s="248"/>
      <c r="AJ155" s="248"/>
      <c r="AK155" s="248"/>
      <c r="AL155" s="248"/>
      <c r="AM155" s="149"/>
      <c r="AN155" s="149"/>
      <c r="AO155" s="149"/>
      <c r="AP155" s="149"/>
      <c r="AQ155" s="149"/>
      <c r="AR155" s="149"/>
      <c r="AS155" s="149"/>
      <c r="AT155" s="149"/>
      <c r="AU155" s="149"/>
      <c r="AV155" s="149"/>
      <c r="AW155" s="149"/>
      <c r="AX155" s="149"/>
      <c r="AY155" s="149"/>
      <c r="AZ155" s="149"/>
      <c r="BA155" s="149"/>
      <c r="BB155" s="248"/>
      <c r="BC155" s="149"/>
      <c r="BD155" s="149"/>
      <c r="BE155" s="149"/>
      <c r="BF155" s="149"/>
      <c r="BG155" s="149"/>
      <c r="BH155" s="149"/>
      <c r="BI155" s="149"/>
      <c r="BJ155" s="149"/>
      <c r="BK155" s="149"/>
      <c r="BL155" s="149"/>
      <c r="BM155" s="149"/>
      <c r="BN155" s="149"/>
      <c r="BO155" s="149"/>
      <c r="BP155" s="149"/>
      <c r="BQ155" s="149"/>
      <c r="BR155" s="149"/>
      <c r="BS155" s="248"/>
      <c r="BT155" s="248"/>
      <c r="BU155" s="802"/>
      <c r="BV155" s="248"/>
      <c r="BW155" s="248"/>
      <c r="BX155" s="248"/>
      <c r="BY155" s="248"/>
      <c r="BZ155" s="248"/>
      <c r="CA155" s="248"/>
      <c r="CB155" s="248"/>
      <c r="CC155" s="248"/>
      <c r="CD155" s="248"/>
      <c r="CE155" s="248"/>
      <c r="CF155" s="248"/>
      <c r="CG155" s="248"/>
      <c r="CH155" s="248"/>
      <c r="CI155" s="248"/>
      <c r="CJ155" s="248"/>
      <c r="CK155" s="149"/>
      <c r="CL155" s="149"/>
      <c r="CM155" s="149"/>
      <c r="CN155" s="149"/>
      <c r="CO155" s="149"/>
      <c r="CP155" s="149"/>
      <c r="CQ155" s="149"/>
      <c r="CR155" s="149"/>
      <c r="CS155" s="149"/>
      <c r="CT155" s="149"/>
      <c r="CU155" s="149"/>
      <c r="CV155" s="149"/>
      <c r="CW155" s="149"/>
      <c r="CX155" s="149"/>
      <c r="CY155" s="149"/>
      <c r="CZ155" s="149"/>
      <c r="DA155" s="149"/>
      <c r="DB155" s="149"/>
      <c r="DC155" s="248"/>
      <c r="DD155" s="149"/>
      <c r="DE155" s="149"/>
      <c r="DF155" s="149"/>
      <c r="DG155" s="149"/>
      <c r="DH155" s="149"/>
      <c r="DI155" s="149"/>
      <c r="DJ155" s="149"/>
      <c r="DK155" s="149"/>
      <c r="DL155" s="149"/>
      <c r="DM155" s="149"/>
      <c r="DN155" s="149"/>
      <c r="DO155" s="149"/>
    </row>
    <row r="156" spans="1:119" ht="12.75">
      <c r="A156" s="476"/>
      <c r="B156" s="476"/>
      <c r="C156" s="476"/>
      <c r="D156" s="476"/>
      <c r="E156" s="524"/>
      <c r="F156" s="524"/>
      <c r="G156" s="524"/>
      <c r="H156" s="524"/>
      <c r="I156" s="524"/>
      <c r="J156" s="524"/>
      <c r="K156" s="524"/>
      <c r="L156" s="524"/>
      <c r="M156" s="524"/>
      <c r="N156" s="524"/>
      <c r="O156" s="524"/>
      <c r="P156" s="524"/>
      <c r="Q156" s="524"/>
      <c r="R156" s="524"/>
      <c r="S156" s="524"/>
      <c r="T156" s="524"/>
      <c r="U156" s="257"/>
      <c r="V156" s="149"/>
      <c r="W156" s="149"/>
      <c r="X156" s="149"/>
      <c r="Y156" s="149"/>
      <c r="Z156" s="149"/>
      <c r="AA156" s="149"/>
      <c r="AB156" s="149"/>
      <c r="AC156" s="149"/>
      <c r="AD156" s="149"/>
      <c r="AE156" s="149"/>
      <c r="AF156" s="149"/>
      <c r="AG156" s="149"/>
      <c r="AH156" s="149"/>
      <c r="AI156" s="248"/>
      <c r="AJ156" s="248"/>
      <c r="AK156" s="248"/>
      <c r="AL156" s="248"/>
      <c r="AM156" s="149"/>
      <c r="AN156" s="149"/>
      <c r="AO156" s="149"/>
      <c r="AP156" s="149"/>
      <c r="AQ156" s="149"/>
      <c r="AR156" s="149"/>
      <c r="AS156" s="149"/>
      <c r="AT156" s="149"/>
      <c r="AU156" s="149"/>
      <c r="AV156" s="149"/>
      <c r="AW156" s="149"/>
      <c r="AX156" s="149"/>
      <c r="AY156" s="149"/>
      <c r="AZ156" s="149"/>
      <c r="BA156" s="149"/>
      <c r="BB156" s="248"/>
      <c r="BC156" s="149"/>
      <c r="BD156" s="149"/>
      <c r="BE156" s="149"/>
      <c r="BF156" s="149"/>
      <c r="BG156" s="149"/>
      <c r="BH156" s="149"/>
      <c r="BI156" s="149"/>
      <c r="BJ156" s="149"/>
      <c r="BK156" s="149"/>
      <c r="BL156" s="149"/>
      <c r="BM156" s="149"/>
      <c r="BN156" s="149"/>
      <c r="BO156" s="149"/>
      <c r="BP156" s="149"/>
      <c r="BQ156" s="149"/>
      <c r="BR156" s="149"/>
      <c r="BS156" s="248"/>
      <c r="BT156" s="248"/>
      <c r="BU156" s="802"/>
      <c r="BV156" s="248"/>
      <c r="BW156" s="248"/>
      <c r="BX156" s="248"/>
      <c r="BY156" s="248"/>
      <c r="BZ156" s="248"/>
      <c r="CA156" s="248"/>
      <c r="CB156" s="248"/>
      <c r="CC156" s="248"/>
      <c r="CD156" s="248"/>
      <c r="CE156" s="248"/>
      <c r="CF156" s="248"/>
      <c r="CG156" s="248"/>
      <c r="CH156" s="248"/>
      <c r="CI156" s="248"/>
      <c r="CJ156" s="248"/>
      <c r="CK156" s="149"/>
      <c r="CL156" s="149"/>
      <c r="CM156" s="149"/>
      <c r="CN156" s="149"/>
      <c r="CO156" s="149"/>
      <c r="CP156" s="149"/>
      <c r="CQ156" s="149"/>
      <c r="CR156" s="149"/>
      <c r="CS156" s="149"/>
      <c r="CT156" s="149"/>
      <c r="CU156" s="149"/>
      <c r="CV156" s="149"/>
      <c r="CW156" s="149"/>
      <c r="CX156" s="149"/>
      <c r="CY156" s="149"/>
      <c r="CZ156" s="149"/>
      <c r="DA156" s="149"/>
      <c r="DB156" s="149"/>
      <c r="DC156" s="248"/>
      <c r="DD156" s="149"/>
      <c r="DE156" s="149"/>
      <c r="DF156" s="149"/>
      <c r="DG156" s="149"/>
      <c r="DH156" s="149"/>
      <c r="DI156" s="149"/>
      <c r="DJ156" s="149"/>
      <c r="DK156" s="149"/>
      <c r="DL156" s="149"/>
      <c r="DM156" s="149"/>
      <c r="DN156" s="149"/>
      <c r="DO156" s="149"/>
    </row>
    <row r="157" spans="1:119" ht="12.75">
      <c r="A157" s="476"/>
      <c r="B157" s="476"/>
      <c r="C157" s="476"/>
      <c r="D157" s="476"/>
      <c r="E157" s="524"/>
      <c r="F157" s="524"/>
      <c r="G157" s="524"/>
      <c r="H157" s="524"/>
      <c r="I157" s="524"/>
      <c r="J157" s="524"/>
      <c r="K157" s="524"/>
      <c r="L157" s="524"/>
      <c r="M157" s="524"/>
      <c r="N157" s="524"/>
      <c r="O157" s="524"/>
      <c r="P157" s="524"/>
      <c r="Q157" s="524"/>
      <c r="R157" s="524"/>
      <c r="S157" s="524"/>
      <c r="T157" s="524"/>
      <c r="U157" s="257"/>
      <c r="V157" s="149"/>
      <c r="W157" s="149"/>
      <c r="X157" s="149"/>
      <c r="Y157" s="149"/>
      <c r="Z157" s="149"/>
      <c r="AA157" s="149"/>
      <c r="AB157" s="149"/>
      <c r="AC157" s="149"/>
      <c r="AD157" s="149"/>
      <c r="AE157" s="149"/>
      <c r="AF157" s="149"/>
      <c r="AG157" s="149"/>
      <c r="AH157" s="149"/>
      <c r="AI157" s="248"/>
      <c r="AJ157" s="248"/>
      <c r="AK157" s="248"/>
      <c r="AL157" s="248"/>
      <c r="AM157" s="149"/>
      <c r="AN157" s="149"/>
      <c r="AO157" s="149"/>
      <c r="AP157" s="149"/>
      <c r="AQ157" s="149"/>
      <c r="AR157" s="149"/>
      <c r="AS157" s="149"/>
      <c r="AT157" s="149"/>
      <c r="AU157" s="149"/>
      <c r="AV157" s="149"/>
      <c r="AW157" s="149"/>
      <c r="AX157" s="149"/>
      <c r="AY157" s="149"/>
      <c r="AZ157" s="149"/>
      <c r="BA157" s="149"/>
      <c r="BB157" s="248"/>
      <c r="BC157" s="149"/>
      <c r="BD157" s="149"/>
      <c r="BE157" s="149"/>
      <c r="BF157" s="149"/>
      <c r="BG157" s="149"/>
      <c r="BH157" s="149"/>
      <c r="BI157" s="149"/>
      <c r="BJ157" s="149"/>
      <c r="BK157" s="149"/>
      <c r="BL157" s="149"/>
      <c r="BM157" s="149"/>
      <c r="BN157" s="149"/>
      <c r="BO157" s="149"/>
      <c r="BP157" s="149"/>
      <c r="BQ157" s="149"/>
      <c r="BR157" s="149"/>
      <c r="BS157" s="248"/>
      <c r="BT157" s="248"/>
      <c r="BU157" s="802"/>
      <c r="BV157" s="248"/>
      <c r="BW157" s="248"/>
      <c r="BX157" s="248"/>
      <c r="BY157" s="248"/>
      <c r="BZ157" s="248"/>
      <c r="CA157" s="248"/>
      <c r="CB157" s="248"/>
      <c r="CC157" s="248"/>
      <c r="CD157" s="248"/>
      <c r="CE157" s="248"/>
      <c r="CF157" s="248"/>
      <c r="CG157" s="248"/>
      <c r="CH157" s="248"/>
      <c r="CI157" s="248"/>
      <c r="CJ157" s="248"/>
      <c r="CK157" s="149"/>
      <c r="CL157" s="149"/>
      <c r="CM157" s="149"/>
      <c r="CN157" s="149"/>
      <c r="CO157" s="149"/>
      <c r="CP157" s="149"/>
      <c r="CQ157" s="149"/>
      <c r="CR157" s="149"/>
      <c r="CS157" s="149"/>
      <c r="CT157" s="149"/>
      <c r="CU157" s="149"/>
      <c r="CV157" s="149"/>
      <c r="CW157" s="149"/>
      <c r="CX157" s="149"/>
      <c r="CY157" s="149"/>
      <c r="CZ157" s="149"/>
      <c r="DA157" s="149"/>
      <c r="DB157" s="149"/>
      <c r="DC157" s="248"/>
      <c r="DD157" s="149"/>
      <c r="DE157" s="149"/>
      <c r="DF157" s="149"/>
      <c r="DG157" s="149"/>
      <c r="DH157" s="149"/>
      <c r="DI157" s="149"/>
      <c r="DJ157" s="149"/>
      <c r="DK157" s="149"/>
      <c r="DL157" s="149"/>
      <c r="DM157" s="149"/>
      <c r="DN157" s="149"/>
      <c r="DO157" s="149"/>
    </row>
    <row r="158" spans="1:119" ht="12.75">
      <c r="A158" s="476"/>
      <c r="B158" s="476"/>
      <c r="C158" s="476"/>
      <c r="D158" s="476"/>
      <c r="E158" s="524"/>
      <c r="F158" s="524"/>
      <c r="G158" s="524"/>
      <c r="H158" s="524"/>
      <c r="I158" s="524"/>
      <c r="J158" s="524"/>
      <c r="K158" s="524"/>
      <c r="L158" s="524"/>
      <c r="M158" s="524"/>
      <c r="N158" s="524"/>
      <c r="O158" s="524"/>
      <c r="P158" s="524"/>
      <c r="Q158" s="524"/>
      <c r="R158" s="524"/>
      <c r="S158" s="524"/>
      <c r="T158" s="524"/>
      <c r="U158" s="257"/>
      <c r="AL158" s="248"/>
      <c r="AM158" s="149"/>
      <c r="AN158" s="149"/>
      <c r="AO158" s="149"/>
      <c r="AP158" s="149"/>
      <c r="AQ158" s="149"/>
      <c r="AR158" s="149"/>
      <c r="AS158" s="149"/>
      <c r="AT158" s="149"/>
      <c r="AU158" s="149"/>
      <c r="AV158" s="149"/>
      <c r="AW158" s="149"/>
      <c r="AX158" s="149"/>
      <c r="AY158" s="149"/>
      <c r="AZ158" s="149"/>
      <c r="BA158" s="149"/>
      <c r="BB158" s="248"/>
      <c r="BC158" s="149"/>
      <c r="BD158" s="149"/>
      <c r="BE158" s="149"/>
      <c r="BF158" s="149"/>
      <c r="BG158" s="149"/>
      <c r="BH158" s="149"/>
      <c r="BI158" s="149"/>
      <c r="BJ158" s="149"/>
      <c r="BK158" s="149"/>
      <c r="BL158" s="149"/>
      <c r="BM158" s="149"/>
      <c r="BN158" s="149"/>
      <c r="BO158" s="149"/>
      <c r="BP158" s="149"/>
      <c r="BQ158" s="149"/>
      <c r="BR158" s="149"/>
      <c r="BS158" s="248"/>
      <c r="BT158" s="248"/>
      <c r="BU158" s="802"/>
      <c r="BV158" s="248"/>
      <c r="BW158" s="248"/>
      <c r="BX158" s="248"/>
      <c r="BY158" s="248"/>
      <c r="BZ158" s="248"/>
      <c r="CA158" s="248"/>
      <c r="CB158" s="248"/>
      <c r="CC158" s="248"/>
      <c r="CD158" s="248"/>
      <c r="CE158" s="248"/>
      <c r="CF158" s="248"/>
      <c r="CG158" s="248"/>
      <c r="CH158" s="248"/>
      <c r="CI158" s="248"/>
      <c r="CJ158" s="248"/>
      <c r="CK158" s="149"/>
      <c r="CL158" s="149"/>
      <c r="CM158" s="149"/>
      <c r="CN158" s="149"/>
      <c r="CO158" s="149"/>
      <c r="CP158" s="149"/>
      <c r="CQ158" s="149"/>
      <c r="CR158" s="149"/>
      <c r="CS158" s="149"/>
      <c r="CT158" s="149"/>
      <c r="CU158" s="149"/>
      <c r="CV158" s="149"/>
      <c r="CW158" s="149"/>
      <c r="CX158" s="149"/>
      <c r="CY158" s="149"/>
      <c r="CZ158" s="149"/>
      <c r="DA158" s="149"/>
      <c r="DB158" s="149"/>
      <c r="DC158" s="248"/>
      <c r="DD158" s="149"/>
      <c r="DE158" s="149"/>
      <c r="DF158" s="149"/>
      <c r="DG158" s="149"/>
      <c r="DH158" s="149"/>
      <c r="DI158" s="149"/>
      <c r="DJ158" s="149"/>
      <c r="DK158" s="149"/>
      <c r="DL158" s="149"/>
      <c r="DM158" s="149"/>
      <c r="DN158" s="149"/>
      <c r="DO158" s="149"/>
    </row>
    <row r="159" spans="1:119" ht="12.75">
      <c r="A159" s="476"/>
      <c r="B159" s="476"/>
      <c r="C159" s="476"/>
      <c r="D159" s="476"/>
      <c r="E159" s="524"/>
      <c r="F159" s="524"/>
      <c r="G159" s="524"/>
      <c r="H159" s="524"/>
      <c r="I159" s="524"/>
      <c r="J159" s="524"/>
      <c r="K159" s="524"/>
      <c r="L159" s="524"/>
      <c r="M159" s="524"/>
      <c r="N159" s="524"/>
      <c r="O159" s="524"/>
      <c r="P159" s="524"/>
      <c r="Q159" s="524"/>
      <c r="R159" s="524"/>
      <c r="S159" s="524"/>
      <c r="T159" s="524"/>
      <c r="U159" s="257"/>
      <c r="AL159" s="248"/>
      <c r="AM159" s="149"/>
      <c r="AN159" s="149"/>
      <c r="AO159" s="149"/>
      <c r="AP159" s="149"/>
      <c r="AQ159" s="149"/>
      <c r="AR159" s="149"/>
      <c r="AS159" s="149"/>
      <c r="AT159" s="149"/>
      <c r="AU159" s="149"/>
      <c r="AV159" s="149"/>
      <c r="AW159" s="149"/>
      <c r="AX159" s="149"/>
      <c r="AY159" s="149"/>
      <c r="AZ159" s="149"/>
      <c r="BA159" s="149"/>
      <c r="BB159" s="248"/>
      <c r="BC159" s="149"/>
      <c r="BD159" s="149"/>
      <c r="BE159" s="149"/>
      <c r="BF159" s="149"/>
      <c r="BG159" s="149"/>
      <c r="BH159" s="149"/>
      <c r="BI159" s="149"/>
      <c r="BJ159" s="149"/>
      <c r="BK159" s="149"/>
      <c r="BL159" s="149"/>
      <c r="BM159" s="149"/>
      <c r="BN159" s="149"/>
      <c r="BO159" s="149"/>
      <c r="BP159" s="149"/>
      <c r="BQ159" s="149"/>
      <c r="BR159" s="149"/>
      <c r="BS159" s="248"/>
      <c r="BT159" s="248"/>
      <c r="BU159" s="802"/>
      <c r="BV159" s="248"/>
      <c r="BW159" s="248"/>
      <c r="BX159" s="248"/>
      <c r="BY159" s="248"/>
      <c r="BZ159" s="248"/>
      <c r="CA159" s="248"/>
      <c r="CB159" s="248"/>
      <c r="CC159" s="248"/>
      <c r="CD159" s="248"/>
      <c r="CE159" s="248"/>
      <c r="CF159" s="248"/>
      <c r="CG159" s="248"/>
      <c r="CH159" s="248"/>
      <c r="CI159" s="248"/>
      <c r="CJ159" s="248"/>
      <c r="CK159" s="149"/>
      <c r="CL159" s="149"/>
      <c r="CM159" s="149"/>
      <c r="CN159" s="149"/>
      <c r="CO159" s="149"/>
      <c r="CP159" s="149"/>
      <c r="CQ159" s="149"/>
      <c r="CR159" s="149"/>
      <c r="CS159" s="149"/>
      <c r="CT159" s="149"/>
      <c r="CU159" s="149"/>
      <c r="CV159" s="149"/>
      <c r="CW159" s="149"/>
      <c r="CX159" s="149"/>
      <c r="CY159" s="149"/>
      <c r="CZ159" s="149"/>
      <c r="DA159" s="149"/>
      <c r="DB159" s="149"/>
      <c r="DC159" s="248"/>
      <c r="DD159" s="149"/>
      <c r="DE159" s="149"/>
      <c r="DF159" s="149"/>
      <c r="DG159" s="149"/>
      <c r="DH159" s="149"/>
      <c r="DI159" s="149"/>
      <c r="DJ159" s="149"/>
      <c r="DK159" s="149"/>
      <c r="DL159" s="149"/>
      <c r="DM159" s="149"/>
      <c r="DN159" s="149"/>
      <c r="DO159" s="149"/>
    </row>
    <row r="160" spans="1:119" ht="12.75">
      <c r="BE160" s="149"/>
      <c r="BF160" s="149"/>
      <c r="BG160" s="149"/>
      <c r="BH160" s="149"/>
      <c r="BI160" s="149"/>
      <c r="BJ160" s="149"/>
      <c r="BK160" s="149"/>
      <c r="BL160" s="149"/>
      <c r="BM160" s="149"/>
      <c r="BN160" s="149"/>
      <c r="BO160" s="149"/>
      <c r="BP160" s="149"/>
      <c r="BQ160" s="149"/>
    </row>
    <row r="161" spans="57:69" ht="12.75">
      <c r="BE161" s="149"/>
      <c r="BF161" s="149"/>
      <c r="BG161" s="149"/>
      <c r="BH161" s="149"/>
      <c r="BI161" s="149"/>
      <c r="BJ161" s="149"/>
      <c r="BK161" s="149"/>
      <c r="BL161" s="149"/>
      <c r="BM161" s="149"/>
      <c r="BN161" s="149"/>
      <c r="BO161" s="149"/>
      <c r="BP161" s="149"/>
      <c r="BQ161" s="149"/>
    </row>
  </sheetData>
  <sheetProtection algorithmName="SHA-512" hashValue="tZNVDHM3c0zBULQAV9npIv54teaj/Sof/KuC+5EzVZFpz6TTvFm5/i+nTSRznFtA8RjKRQdujROwXj0/Ic19BA==" saltValue="/cN3eEuSaMTJm1bjQYYJtQ==" spinCount="100000" sheet="1" objects="1" scenarios="1"/>
  <mergeCells count="279">
    <mergeCell ref="O86:S88"/>
    <mergeCell ref="P79:R80"/>
    <mergeCell ref="AP33:AW33"/>
    <mergeCell ref="AY53:AZ53"/>
    <mergeCell ref="AY45:AZ45"/>
    <mergeCell ref="CE79:CH79"/>
    <mergeCell ref="P39:R39"/>
    <mergeCell ref="O83:S84"/>
    <mergeCell ref="H79:O80"/>
    <mergeCell ref="G81:N88"/>
    <mergeCell ref="AP81:AV81"/>
    <mergeCell ref="O85:S85"/>
    <mergeCell ref="AY79:AZ79"/>
    <mergeCell ref="BV40:BV45"/>
    <mergeCell ref="P65:S65"/>
    <mergeCell ref="AY83:AZ83"/>
    <mergeCell ref="AV83:AW83"/>
    <mergeCell ref="AS83:AU83"/>
    <mergeCell ref="AW43:AX43"/>
    <mergeCell ref="AP40:AX42"/>
    <mergeCell ref="AD37:AD39"/>
    <mergeCell ref="AY33:AZ33"/>
    <mergeCell ref="V59:AK61"/>
    <mergeCell ref="AA37:AA39"/>
    <mergeCell ref="CO20:CX21"/>
    <mergeCell ref="CY16:DA17"/>
    <mergeCell ref="CY23:DA25"/>
    <mergeCell ref="B27:C27"/>
    <mergeCell ref="P21:R21"/>
    <mergeCell ref="H21:L22"/>
    <mergeCell ref="CY20:DA21"/>
    <mergeCell ref="AY81:AZ81"/>
    <mergeCell ref="CE81:CH81"/>
    <mergeCell ref="AY59:AZ59"/>
    <mergeCell ref="AG37:AG39"/>
    <mergeCell ref="H15:J16"/>
    <mergeCell ref="AP25:AW25"/>
    <mergeCell ref="CO28:CW29"/>
    <mergeCell ref="CO23:CX23"/>
    <mergeCell ref="CO24:CX25"/>
    <mergeCell ref="CO27:CW27"/>
    <mergeCell ref="AP23:AW23"/>
    <mergeCell ref="AP26:AU28"/>
    <mergeCell ref="AP29:AW29"/>
    <mergeCell ref="BO25:BQ26"/>
    <mergeCell ref="P67:R69"/>
    <mergeCell ref="B79:C79"/>
    <mergeCell ref="X55:AK56"/>
    <mergeCell ref="A85:D85"/>
    <mergeCell ref="CY4:DB8"/>
    <mergeCell ref="CM5:CS7"/>
    <mergeCell ref="CT5:CX7"/>
    <mergeCell ref="O81:S82"/>
    <mergeCell ref="CM57:DB59"/>
    <mergeCell ref="H71:O72"/>
    <mergeCell ref="P75:R76"/>
    <mergeCell ref="CY18:DA19"/>
    <mergeCell ref="P73:R74"/>
    <mergeCell ref="B35:C35"/>
    <mergeCell ref="B75:C78"/>
    <mergeCell ref="K77:O78"/>
    <mergeCell ref="K75:O76"/>
    <mergeCell ref="K73:O74"/>
    <mergeCell ref="G67:O70"/>
    <mergeCell ref="B61:C71"/>
    <mergeCell ref="G45:K46"/>
    <mergeCell ref="M49:N49"/>
    <mergeCell ref="G37:K38"/>
    <mergeCell ref="B31:C34"/>
    <mergeCell ref="CX27:DA29"/>
    <mergeCell ref="CO16:CX17"/>
    <mergeCell ref="B2:C7"/>
    <mergeCell ref="P47:R47"/>
    <mergeCell ref="AH37:AH39"/>
    <mergeCell ref="AJ37:AJ39"/>
    <mergeCell ref="AI37:AI39"/>
    <mergeCell ref="X53:AK54"/>
    <mergeCell ref="A9:D13"/>
    <mergeCell ref="P25:R25"/>
    <mergeCell ref="B43:C43"/>
    <mergeCell ref="B23:C26"/>
    <mergeCell ref="B39:C42"/>
    <mergeCell ref="G25:K26"/>
    <mergeCell ref="P19:R19"/>
    <mergeCell ref="H17:K18"/>
    <mergeCell ref="H19:K20"/>
    <mergeCell ref="M31:N31"/>
    <mergeCell ref="P17:R17"/>
    <mergeCell ref="P13:R13"/>
    <mergeCell ref="P33:R33"/>
    <mergeCell ref="P37:R37"/>
    <mergeCell ref="P27:R27"/>
    <mergeCell ref="H13:K14"/>
    <mergeCell ref="G11:J11"/>
    <mergeCell ref="K11:S11"/>
    <mergeCell ref="M39:O39"/>
    <mergeCell ref="P71:R72"/>
    <mergeCell ref="P55:R55"/>
    <mergeCell ref="P63:R63"/>
    <mergeCell ref="P53:R53"/>
    <mergeCell ref="W62:AJ72"/>
    <mergeCell ref="Q77:R77"/>
    <mergeCell ref="X51:AK52"/>
    <mergeCell ref="G5:S8"/>
    <mergeCell ref="P49:R49"/>
    <mergeCell ref="P57:R57"/>
    <mergeCell ref="P51:R51"/>
    <mergeCell ref="Y37:Y39"/>
    <mergeCell ref="P41:R41"/>
    <mergeCell ref="Z17:AI17"/>
    <mergeCell ref="V17:Y17"/>
    <mergeCell ref="V19:X21"/>
    <mergeCell ref="V31:X33"/>
    <mergeCell ref="M63:N63"/>
    <mergeCell ref="AF37:AF39"/>
    <mergeCell ref="G59:K60"/>
    <mergeCell ref="AE37:AE39"/>
    <mergeCell ref="P59:R59"/>
    <mergeCell ref="P45:R45"/>
    <mergeCell ref="X49:AK50"/>
    <mergeCell ref="CW61:CX61"/>
    <mergeCell ref="BE18:BJ20"/>
    <mergeCell ref="BL45:BM45"/>
    <mergeCell ref="BL43:BM43"/>
    <mergeCell ref="BN39:BP39"/>
    <mergeCell ref="L27:M27"/>
    <mergeCell ref="V35:X38"/>
    <mergeCell ref="Z37:Z39"/>
    <mergeCell ref="AC37:AC39"/>
    <mergeCell ref="AB37:AB39"/>
    <mergeCell ref="V23:X25"/>
    <mergeCell ref="V27:X29"/>
    <mergeCell ref="AO37:AW39"/>
    <mergeCell ref="AY51:AZ51"/>
    <mergeCell ref="AW59:AX59"/>
    <mergeCell ref="AP60:AX62"/>
    <mergeCell ref="P61:R61"/>
    <mergeCell ref="CO18:CX19"/>
    <mergeCell ref="BO49:BO51"/>
    <mergeCell ref="BE59:BN60"/>
    <mergeCell ref="BO59:BQ60"/>
    <mergeCell ref="AY55:AZ55"/>
    <mergeCell ref="BH47:BI47"/>
    <mergeCell ref="BJ47:BK47"/>
    <mergeCell ref="AP65:AV65"/>
    <mergeCell ref="CN81:CQ83"/>
    <mergeCell ref="AY67:AZ67"/>
    <mergeCell ref="AP67:AV67"/>
    <mergeCell ref="AY75:AZ75"/>
    <mergeCell ref="AY71:AZ71"/>
    <mergeCell ref="CN77:DA78"/>
    <mergeCell ref="CM31:CN50"/>
    <mergeCell ref="CN61:CU62"/>
    <mergeCell ref="AP63:AV63"/>
    <mergeCell ref="AP73:AV73"/>
    <mergeCell ref="CW81:DA83"/>
    <mergeCell ref="CT47:DA48"/>
    <mergeCell ref="BL41:BM41"/>
    <mergeCell ref="CQ53:DA54"/>
    <mergeCell ref="BP63:BQ63"/>
    <mergeCell ref="CN63:CP64"/>
    <mergeCell ref="BF75:BQ77"/>
    <mergeCell ref="CN79:DA80"/>
    <mergeCell ref="CE83:CH83"/>
    <mergeCell ref="CT49:DA49"/>
    <mergeCell ref="CR81:CV83"/>
    <mergeCell ref="AY76:AZ78"/>
    <mergeCell ref="AP75:AV75"/>
    <mergeCell ref="CE77:CH77"/>
    <mergeCell ref="BP69:BQ69"/>
    <mergeCell ref="BI73:BJ73"/>
    <mergeCell ref="BG73:BH73"/>
    <mergeCell ref="BG69:BH69"/>
    <mergeCell ref="BG71:BH71"/>
    <mergeCell ref="BI71:BJ71"/>
    <mergeCell ref="BK69:BL69"/>
    <mergeCell ref="AP76:AX78"/>
    <mergeCell ref="AY73:AZ73"/>
    <mergeCell ref="AP68:AX70"/>
    <mergeCell ref="CW63:CX63"/>
    <mergeCell ref="BM69:BN69"/>
    <mergeCell ref="CV67:CX69"/>
    <mergeCell ref="CN75:DA76"/>
    <mergeCell ref="BK67:BL67"/>
    <mergeCell ref="BG67:BH67"/>
    <mergeCell ref="BI65:BJ65"/>
    <mergeCell ref="BG65:BH65"/>
    <mergeCell ref="BM67:BN67"/>
    <mergeCell ref="CW65:CX65"/>
    <mergeCell ref="BK71:BL71"/>
    <mergeCell ref="BK73:BL73"/>
    <mergeCell ref="CN73:DA74"/>
    <mergeCell ref="CN67:CU69"/>
    <mergeCell ref="CN65:CU66"/>
    <mergeCell ref="CQ63:CU64"/>
    <mergeCell ref="BM63:BN63"/>
    <mergeCell ref="BI69:BJ69"/>
    <mergeCell ref="BG63:BH63"/>
    <mergeCell ref="BM65:BN65"/>
    <mergeCell ref="AY65:AZ65"/>
    <mergeCell ref="AY68:AZ70"/>
    <mergeCell ref="BF63:BF67"/>
    <mergeCell ref="BI63:BJ63"/>
    <mergeCell ref="AY57:AZ57"/>
    <mergeCell ref="BF53:BQ55"/>
    <mergeCell ref="BL47:BM47"/>
    <mergeCell ref="BO63:BO73"/>
    <mergeCell ref="AY49:AZ49"/>
    <mergeCell ref="AY60:AZ62"/>
    <mergeCell ref="BK63:BL63"/>
    <mergeCell ref="BO41:BO47"/>
    <mergeCell ref="BK65:BL65"/>
    <mergeCell ref="BI67:BJ67"/>
    <mergeCell ref="BF69:BF73"/>
    <mergeCell ref="AY63:AZ63"/>
    <mergeCell ref="BP49:BQ49"/>
    <mergeCell ref="BM73:BN73"/>
    <mergeCell ref="BM71:BN71"/>
    <mergeCell ref="BF47:BG47"/>
    <mergeCell ref="BO36:BQ37"/>
    <mergeCell ref="AV14:AX16"/>
    <mergeCell ref="BH41:BI41"/>
    <mergeCell ref="BE36:BN37"/>
    <mergeCell ref="AY47:AZ47"/>
    <mergeCell ref="BP41:BQ41"/>
    <mergeCell ref="BJ43:BK43"/>
    <mergeCell ref="BF41:BG41"/>
    <mergeCell ref="BF43:BG43"/>
    <mergeCell ref="BJ41:BK41"/>
    <mergeCell ref="BJ45:BK45"/>
    <mergeCell ref="BH43:BI43"/>
    <mergeCell ref="AY43:AZ43"/>
    <mergeCell ref="AP14:AU16"/>
    <mergeCell ref="AY21:AZ21"/>
    <mergeCell ref="AV26:AX28"/>
    <mergeCell ref="CG4:CI8"/>
    <mergeCell ref="BV5:CA7"/>
    <mergeCell ref="CB5:CF7"/>
    <mergeCell ref="BV11:CI13"/>
    <mergeCell ref="V5:AB7"/>
    <mergeCell ref="AC5:AG7"/>
    <mergeCell ref="AH4:AK8"/>
    <mergeCell ref="AX11:AZ13"/>
    <mergeCell ref="AU5:AW7"/>
    <mergeCell ref="BE11:BR13"/>
    <mergeCell ref="AO5:AT7"/>
    <mergeCell ref="W15:AK16"/>
    <mergeCell ref="AY4:BA8"/>
    <mergeCell ref="AO11:AT13"/>
    <mergeCell ref="AU11:AW13"/>
    <mergeCell ref="V11:AK13"/>
    <mergeCell ref="BP3:BR7"/>
    <mergeCell ref="BE5:BI7"/>
    <mergeCell ref="BL5:BN7"/>
    <mergeCell ref="BO23:BQ24"/>
    <mergeCell ref="CY11:DA13"/>
    <mergeCell ref="CV11:CX13"/>
    <mergeCell ref="CM11:CU13"/>
    <mergeCell ref="CE69:CH69"/>
    <mergeCell ref="B47:C57"/>
    <mergeCell ref="BJ51:BK51"/>
    <mergeCell ref="BF45:BG45"/>
    <mergeCell ref="BH45:BI45"/>
    <mergeCell ref="BL51:BM51"/>
    <mergeCell ref="AY17:AZ17"/>
    <mergeCell ref="K15:R15"/>
    <mergeCell ref="AY14:AZ16"/>
    <mergeCell ref="AY25:AZ25"/>
    <mergeCell ref="AY23:AZ23"/>
    <mergeCell ref="AY40:AZ42"/>
    <mergeCell ref="AY26:BA28"/>
    <mergeCell ref="AX37:AZ39"/>
    <mergeCell ref="AP31:AW31"/>
    <mergeCell ref="AY31:AZ31"/>
    <mergeCell ref="AY19:AZ19"/>
    <mergeCell ref="BO27:BQ28"/>
    <mergeCell ref="BI23:BN24"/>
    <mergeCell ref="BE31:BR33"/>
    <mergeCell ref="AY29:AZ29"/>
  </mergeCells>
  <phoneticPr fontId="30" type="noConversion"/>
  <conditionalFormatting sqref="W62">
    <cfRule type="expression" dxfId="143" priority="173" stopIfTrue="1">
      <formula>#REF!=1</formula>
    </cfRule>
  </conditionalFormatting>
  <conditionalFormatting sqref="Y43">
    <cfRule type="expression" dxfId="142" priority="164" stopIfTrue="1">
      <formula>$Y$43&gt;999.9</formula>
    </cfRule>
  </conditionalFormatting>
  <conditionalFormatting sqref="Z43">
    <cfRule type="expression" dxfId="141" priority="163" stopIfTrue="1">
      <formula>$Z$43&gt;999.9</formula>
    </cfRule>
  </conditionalFormatting>
  <conditionalFormatting sqref="AA43">
    <cfRule type="expression" dxfId="140" priority="162" stopIfTrue="1">
      <formula>$AA$43&gt;999.9</formula>
    </cfRule>
  </conditionalFormatting>
  <conditionalFormatting sqref="AB43">
    <cfRule type="expression" dxfId="139" priority="161" stopIfTrue="1">
      <formula>$AB$43&gt;999.9</formula>
    </cfRule>
  </conditionalFormatting>
  <conditionalFormatting sqref="AC43">
    <cfRule type="expression" dxfId="138" priority="160" stopIfTrue="1">
      <formula>$AC$43&gt;999.9</formula>
    </cfRule>
  </conditionalFormatting>
  <conditionalFormatting sqref="AD43">
    <cfRule type="expression" dxfId="137" priority="159" stopIfTrue="1">
      <formula>$AD$43&gt;999.9</formula>
    </cfRule>
  </conditionalFormatting>
  <conditionalFormatting sqref="AE43">
    <cfRule type="expression" dxfId="136" priority="158" stopIfTrue="1">
      <formula>$AE$43&gt;999.9</formula>
    </cfRule>
  </conditionalFormatting>
  <conditionalFormatting sqref="AF43">
    <cfRule type="expression" dxfId="135" priority="157" stopIfTrue="1">
      <formula>$AF$43&gt;999.9</formula>
    </cfRule>
  </conditionalFormatting>
  <conditionalFormatting sqref="AG43">
    <cfRule type="expression" dxfId="134" priority="156" stopIfTrue="1">
      <formula>$AG$43&gt;999.9</formula>
    </cfRule>
  </conditionalFormatting>
  <conditionalFormatting sqref="AH43">
    <cfRule type="expression" dxfId="133" priority="155" stopIfTrue="1">
      <formula>$AH$43&gt;999.9</formula>
    </cfRule>
  </conditionalFormatting>
  <conditionalFormatting sqref="AI43">
    <cfRule type="expression" dxfId="132" priority="154" stopIfTrue="1">
      <formula>$AI$43&gt;999.9</formula>
    </cfRule>
  </conditionalFormatting>
  <conditionalFormatting sqref="AJ43">
    <cfRule type="expression" dxfId="131" priority="153" stopIfTrue="1">
      <formula>$AJ$43&gt;999.9</formula>
    </cfRule>
  </conditionalFormatting>
  <conditionalFormatting sqref="Y41">
    <cfRule type="expression" dxfId="130" priority="139" stopIfTrue="1">
      <formula>$Y$41&gt;999.9</formula>
    </cfRule>
  </conditionalFormatting>
  <conditionalFormatting sqref="Z41">
    <cfRule type="expression" dxfId="129" priority="138" stopIfTrue="1">
      <formula>$Z$41&gt;999.9</formula>
    </cfRule>
  </conditionalFormatting>
  <conditionalFormatting sqref="AA41">
    <cfRule type="expression" dxfId="128" priority="137" stopIfTrue="1">
      <formula>$AA$41&gt;999.9</formula>
    </cfRule>
  </conditionalFormatting>
  <conditionalFormatting sqref="AB41">
    <cfRule type="expression" dxfId="127" priority="136" stopIfTrue="1">
      <formula>$AB$41&gt;999.9</formula>
    </cfRule>
  </conditionalFormatting>
  <conditionalFormatting sqref="AC41">
    <cfRule type="expression" dxfId="126" priority="135" stopIfTrue="1">
      <formula>$AC$41&gt;999.9</formula>
    </cfRule>
  </conditionalFormatting>
  <conditionalFormatting sqref="AD41">
    <cfRule type="expression" dxfId="125" priority="134" stopIfTrue="1">
      <formula>$AD$41&gt;999.9</formula>
    </cfRule>
  </conditionalFormatting>
  <conditionalFormatting sqref="AE41">
    <cfRule type="expression" dxfId="124" priority="133" stopIfTrue="1">
      <formula>$AE$41&gt;999.9</formula>
    </cfRule>
  </conditionalFormatting>
  <conditionalFormatting sqref="AF41">
    <cfRule type="expression" dxfId="123" priority="132" stopIfTrue="1">
      <formula>$AF$41&gt;999.9</formula>
    </cfRule>
  </conditionalFormatting>
  <conditionalFormatting sqref="AG41">
    <cfRule type="expression" dxfId="122" priority="131" stopIfTrue="1">
      <formula>$AG$41&gt;999.9</formula>
    </cfRule>
  </conditionalFormatting>
  <conditionalFormatting sqref="AH41">
    <cfRule type="expression" dxfId="121" priority="130" stopIfTrue="1">
      <formula>$AH$41&gt;999.9</formula>
    </cfRule>
  </conditionalFormatting>
  <conditionalFormatting sqref="AI41">
    <cfRule type="expression" dxfId="120" priority="129" stopIfTrue="1">
      <formula>$AI$41&gt;999.9</formula>
    </cfRule>
  </conditionalFormatting>
  <conditionalFormatting sqref="AJ41">
    <cfRule type="expression" dxfId="119" priority="128" stopIfTrue="1">
      <formula>$AJ$41&gt;999.9</formula>
    </cfRule>
  </conditionalFormatting>
  <conditionalFormatting sqref="Y45">
    <cfRule type="expression" dxfId="118" priority="127" stopIfTrue="1">
      <formula>$Y$45&gt;999.9</formula>
    </cfRule>
  </conditionalFormatting>
  <conditionalFormatting sqref="Z45">
    <cfRule type="expression" dxfId="117" priority="126" stopIfTrue="1">
      <formula>$Z$45&gt;999.9</formula>
    </cfRule>
  </conditionalFormatting>
  <conditionalFormatting sqref="AA45">
    <cfRule type="expression" dxfId="116" priority="125" stopIfTrue="1">
      <formula>$AA$45&gt;999.9</formula>
    </cfRule>
  </conditionalFormatting>
  <conditionalFormatting sqref="AB45">
    <cfRule type="expression" dxfId="115" priority="124" stopIfTrue="1">
      <formula>$AB$45&gt;999.9</formula>
    </cfRule>
  </conditionalFormatting>
  <conditionalFormatting sqref="AC45">
    <cfRule type="expression" dxfId="114" priority="123" stopIfTrue="1">
      <formula>$AC$45&gt;999.9</formula>
    </cfRule>
  </conditionalFormatting>
  <conditionalFormatting sqref="AD45">
    <cfRule type="expression" dxfId="113" priority="122" stopIfTrue="1">
      <formula>$AD$45&gt;999.9</formula>
    </cfRule>
  </conditionalFormatting>
  <conditionalFormatting sqref="AE45">
    <cfRule type="expression" dxfId="112" priority="121" stopIfTrue="1">
      <formula>$AE$45&gt;999.9</formula>
    </cfRule>
  </conditionalFormatting>
  <conditionalFormatting sqref="AF45">
    <cfRule type="expression" dxfId="111" priority="120" stopIfTrue="1">
      <formula>$AF$45&gt;999.9</formula>
    </cfRule>
  </conditionalFormatting>
  <conditionalFormatting sqref="AG45">
    <cfRule type="expression" dxfId="110" priority="119" stopIfTrue="1">
      <formula>$AG$45&gt;999.9</formula>
    </cfRule>
  </conditionalFormatting>
  <conditionalFormatting sqref="AH45">
    <cfRule type="expression" dxfId="109" priority="118" stopIfTrue="1">
      <formula>$AH$45&gt;999.9</formula>
    </cfRule>
  </conditionalFormatting>
  <conditionalFormatting sqref="AI45">
    <cfRule type="expression" dxfId="108" priority="117" stopIfTrue="1">
      <formula>$AI$45&gt;999.9</formula>
    </cfRule>
  </conditionalFormatting>
  <conditionalFormatting sqref="AJ45">
    <cfRule type="expression" dxfId="107" priority="116" stopIfTrue="1">
      <formula>$AJ$45&gt;999.9</formula>
    </cfRule>
  </conditionalFormatting>
  <conditionalFormatting sqref="BN27 M63:M64">
    <cfRule type="expression" dxfId="106" priority="174" stopIfTrue="1">
      <formula>$AN$21=1</formula>
    </cfRule>
  </conditionalFormatting>
  <conditionalFormatting sqref="BM67:BN67 BM73:BN73 BP73 BP67">
    <cfRule type="expression" dxfId="105" priority="176" stopIfTrue="1">
      <formula>$AN$51=3</formula>
    </cfRule>
  </conditionalFormatting>
  <conditionalFormatting sqref="BF75">
    <cfRule type="expression" dxfId="104" priority="180" stopIfTrue="1">
      <formula>$AN$51=3</formula>
    </cfRule>
  </conditionalFormatting>
  <conditionalFormatting sqref="B31 B35">
    <cfRule type="expression" dxfId="103" priority="72" stopIfTrue="1">
      <formula>$E$45=1</formula>
    </cfRule>
  </conditionalFormatting>
  <conditionalFormatting sqref="B23 B27">
    <cfRule type="expression" dxfId="102" priority="73" stopIfTrue="1">
      <formula>$E$25=1</formula>
    </cfRule>
  </conditionalFormatting>
  <conditionalFormatting sqref="CR31:CR49">
    <cfRule type="expression" dxfId="101" priority="196" stopIfTrue="1">
      <formula>AND($BD$27/100&lt;#REF!,#REF!&gt;0.1)</formula>
    </cfRule>
  </conditionalFormatting>
  <conditionalFormatting sqref="CQ32:CQ49">
    <cfRule type="expression" dxfId="100" priority="68" stopIfTrue="1">
      <formula>$AN$21=1</formula>
    </cfRule>
  </conditionalFormatting>
  <conditionalFormatting sqref="B39:B42">
    <cfRule type="expression" dxfId="99" priority="64" stopIfTrue="1">
      <formula>E25=1</formula>
    </cfRule>
  </conditionalFormatting>
  <conditionalFormatting sqref="B43">
    <cfRule type="expression" dxfId="98" priority="63" stopIfTrue="1">
      <formula>E25=1</formula>
    </cfRule>
  </conditionalFormatting>
  <conditionalFormatting sqref="C39:C42">
    <cfRule type="expression" dxfId="97" priority="245" stopIfTrue="1">
      <formula>G25=1</formula>
    </cfRule>
  </conditionalFormatting>
  <conditionalFormatting sqref="C43">
    <cfRule type="expression" dxfId="96" priority="247" stopIfTrue="1">
      <formula>G25=1</formula>
    </cfRule>
  </conditionalFormatting>
  <conditionalFormatting sqref="K15:R15">
    <cfRule type="expression" dxfId="95" priority="2" stopIfTrue="1">
      <formula>$E$15=2</formula>
    </cfRule>
  </conditionalFormatting>
  <conditionalFormatting sqref="P65:S65">
    <cfRule type="expression" dxfId="94" priority="1" stopIfTrue="1">
      <formula>$E$23&gt;=68</formula>
    </cfRule>
  </conditionalFormatting>
  <dataValidations xWindow="1018" yWindow="301" count="7">
    <dataValidation allowBlank="1" showInputMessage="1" showErrorMessage="1" prompt="Bitte den prognostizierten Preis mit den Pfeiltasten einstellen !" sqref="Q77"/>
    <dataValidation allowBlank="1" showInputMessage="1" showErrorMessage="1" promptTitle="Hinweis:" prompt="Die Erfassung des _x000a_Eigenstromver-_x000a_brauchs erfolgt_x000a_im Bereich_x000a_Stromverwendung" sqref="BN27"/>
    <dataValidation allowBlank="1" showInputMessage="1" showErrorMessage="1" promptTitle="Hinweis" prompt="Bitte die Preis-Prognose_x000a_im Bereich_x000a_KOSTEN der_x000a_EIGENSTROMNUTZUNG_x000a_erfassen!" sqref="BJ51"/>
    <dataValidation allowBlank="1" showInputMessage="1" showErrorMessage="1" promptTitle="Hinweis:" prompt="Die Erfassung der _x000a_Laufzeit der_x000a_Anlage erfolgt_x000a_im Bereich_x000a_Solarertrag (Prognose)" sqref="AW43:AX43"/>
    <dataValidation allowBlank="1" showInputMessage="1" showErrorMessage="1" promptTitle="Hinweis:" prompt="Die Erfassung des _x000a_Zinssatzes_x000a_erfolgt_x000a_im Bereich_x000a_Jahreskosten" sqref="AW59:AX59"/>
    <dataValidation type="custom" allowBlank="1" showInputMessage="1" showErrorMessage="1" error="EEG- Förderung (feste Einspeisevergütung)_x000a_&gt; ab 04/2012 begrenzt auf 10.000 kWp _x000a_&gt; ab 08/2014 begrenzt auf 500 kWp (§37, EEG 2014)_x000a_&gt; ab 01/2016 begrenzt auf 100 kWp (§37; EEG 2014)" sqref="K15">
      <formula1>K15&lt;=XFD19</formula1>
    </dataValidation>
    <dataValidation type="custom" allowBlank="1" showInputMessage="1" showErrorMessage="1" error="EEG- Förderung (feste Einspeisevergütung)_x000a_&gt; ab 04/2012 max. 10.000 kWp _x000a_&gt; ab 08/2014 max. 500 kWp (§37, EEG 2014)_x000a_&gt; ab 01/2016 max. 100 kWp (§37; EEG 2014)_x000a__x000a_Ausschreibungspflicht:_x000a_&gt; ab 01/2017 größer 750 kWp" sqref="P13:R13">
      <formula1>P13&lt;=E17</formula1>
    </dataValidation>
  </dataValidations>
  <hyperlinks>
    <hyperlink ref="B23:C26" location="Kalkulation_Eigenstrom!U1:DX8" display="Anlage"/>
    <hyperlink ref="B27:C27" location="Kalkulation_Eigenstrom!U1:DX8" display="(hier klicken)"/>
    <hyperlink ref="B31:C34" location="Kalkulation_Eigenstrom!AM1:DX8" display="Kosten"/>
    <hyperlink ref="B35:C35" location="Kalkulation_Eigenstrom!AM1:DX8" display="(hier klicken)"/>
    <hyperlink ref="B39:C42" location="Kalkulation_Eigenstrom!BC1:DX8" display="Erlöse "/>
    <hyperlink ref="B43:C43" location="Kalkulation_Eigenstrom!BC1:DX8" display="(hier klicken)"/>
    <hyperlink ref="B75:C78" location="Druck!G15" display="Druck "/>
    <hyperlink ref="B79:C79" location="Druck!G15" display="(hier klicken)"/>
    <hyperlink ref="B47:C57" location="Kalkulation_Eigenstrom!BT1:DX8" display="Kalkulation_Eigenstrom!BT1:DX8"/>
    <hyperlink ref="B61:C71" location="Kalkulation_Eigenstrom!CK1:EX8" display="Kalkulation_Eigenstrom!CK1:EX8"/>
  </hyperlinks>
  <printOptions horizontalCentered="1"/>
  <pageMargins left="0.78740157480314965" right="0.19685039370078741" top="0.78740157480314965" bottom="0.78740157480314965"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2592" r:id="rId4" name="Spinner 16">
              <controlPr defaultSize="0" print="0" autoPict="0">
                <anchor moveWithCells="1" sizeWithCells="1">
                  <from>
                    <xdr:col>13</xdr:col>
                    <xdr:colOff>333375</xdr:colOff>
                    <xdr:row>18</xdr:row>
                    <xdr:rowOff>123825</xdr:rowOff>
                  </from>
                  <to>
                    <xdr:col>14</xdr:col>
                    <xdr:colOff>171450</xdr:colOff>
                    <xdr:row>22</xdr:row>
                    <xdr:rowOff>9525</xdr:rowOff>
                  </to>
                </anchor>
              </controlPr>
            </control>
          </mc:Choice>
        </mc:AlternateContent>
        <mc:AlternateContent xmlns:mc="http://schemas.openxmlformats.org/markup-compatibility/2006">
          <mc:Choice Requires="x14">
            <control shapeId="792593" r:id="rId5" name="Spinner 17">
              <controlPr defaultSize="0" print="0" autoPict="0">
                <anchor moveWithCells="1" sizeWithCells="1">
                  <from>
                    <xdr:col>13</xdr:col>
                    <xdr:colOff>333375</xdr:colOff>
                    <xdr:row>15</xdr:row>
                    <xdr:rowOff>9525</xdr:rowOff>
                  </from>
                  <to>
                    <xdr:col>14</xdr:col>
                    <xdr:colOff>171450</xdr:colOff>
                    <xdr:row>18</xdr:row>
                    <xdr:rowOff>47625</xdr:rowOff>
                  </to>
                </anchor>
              </controlPr>
            </control>
          </mc:Choice>
        </mc:AlternateContent>
        <mc:AlternateContent xmlns:mc="http://schemas.openxmlformats.org/markup-compatibility/2006">
          <mc:Choice Requires="x14">
            <control shapeId="792725" r:id="rId6" name="Spinner 149">
              <controlPr defaultSize="0" print="0" autoPict="0">
                <anchor moveWithCells="1" sizeWithCells="1">
                  <from>
                    <xdr:col>14</xdr:col>
                    <xdr:colOff>171450</xdr:colOff>
                    <xdr:row>16</xdr:row>
                    <xdr:rowOff>123825</xdr:rowOff>
                  </from>
                  <to>
                    <xdr:col>14</xdr:col>
                    <xdr:colOff>390525</xdr:colOff>
                    <xdr:row>20</xdr:row>
                    <xdr:rowOff>9525</xdr:rowOff>
                  </to>
                </anchor>
              </controlPr>
            </control>
          </mc:Choice>
        </mc:AlternateContent>
        <mc:AlternateContent xmlns:mc="http://schemas.openxmlformats.org/markup-compatibility/2006">
          <mc:Choice Requires="x14">
            <control shapeId="5426861" r:id="rId7" name="Spinner 10925">
              <controlPr defaultSize="0" print="0" autoPict="0">
                <anchor moveWithCells="1" sizeWithCells="1">
                  <from>
                    <xdr:col>14</xdr:col>
                    <xdr:colOff>171450</xdr:colOff>
                    <xdr:row>46</xdr:row>
                    <xdr:rowOff>95250</xdr:rowOff>
                  </from>
                  <to>
                    <xdr:col>14</xdr:col>
                    <xdr:colOff>390525</xdr:colOff>
                    <xdr:row>49</xdr:row>
                    <xdr:rowOff>0</xdr:rowOff>
                  </to>
                </anchor>
              </controlPr>
            </control>
          </mc:Choice>
        </mc:AlternateContent>
        <mc:AlternateContent xmlns:mc="http://schemas.openxmlformats.org/markup-compatibility/2006">
          <mc:Choice Requires="x14">
            <control shapeId="5649501" r:id="rId8" name="Spinner 11357">
              <controlPr defaultSize="0" print="0" autoPict="0">
                <anchor moveWithCells="1" sizeWithCells="1">
                  <from>
                    <xdr:col>14</xdr:col>
                    <xdr:colOff>171450</xdr:colOff>
                    <xdr:row>60</xdr:row>
                    <xdr:rowOff>66675</xdr:rowOff>
                  </from>
                  <to>
                    <xdr:col>14</xdr:col>
                    <xdr:colOff>390525</xdr:colOff>
                    <xdr:row>62</xdr:row>
                    <xdr:rowOff>123825</xdr:rowOff>
                  </to>
                </anchor>
              </controlPr>
            </control>
          </mc:Choice>
        </mc:AlternateContent>
        <mc:AlternateContent xmlns:mc="http://schemas.openxmlformats.org/markup-compatibility/2006">
          <mc:Choice Requires="x14">
            <control shapeId="5649750" r:id="rId9" name="Spinner 11606">
              <controlPr defaultSize="0" print="0" autoPict="0">
                <anchor moveWithCells="1" sizeWithCells="1">
                  <from>
                    <xdr:col>14</xdr:col>
                    <xdr:colOff>180975</xdr:colOff>
                    <xdr:row>74</xdr:row>
                    <xdr:rowOff>104775</xdr:rowOff>
                  </from>
                  <to>
                    <xdr:col>15</xdr:col>
                    <xdr:colOff>9525</xdr:colOff>
                    <xdr:row>77</xdr:row>
                    <xdr:rowOff>19050</xdr:rowOff>
                  </to>
                </anchor>
              </controlPr>
            </control>
          </mc:Choice>
        </mc:AlternateContent>
        <mc:AlternateContent xmlns:mc="http://schemas.openxmlformats.org/markup-compatibility/2006">
          <mc:Choice Requires="x14">
            <control shapeId="5649790" r:id="rId10" name="Spinner 11646">
              <controlPr defaultSize="0" print="0" autoPict="0">
                <anchor moveWithCells="1" sizeWithCells="1">
                  <from>
                    <xdr:col>14</xdr:col>
                    <xdr:colOff>171450</xdr:colOff>
                    <xdr:row>29</xdr:row>
                    <xdr:rowOff>0</xdr:rowOff>
                  </from>
                  <to>
                    <xdr:col>14</xdr:col>
                    <xdr:colOff>390525</xdr:colOff>
                    <xdr:row>32</xdr:row>
                    <xdr:rowOff>9525</xdr:rowOff>
                  </to>
                </anchor>
              </controlPr>
            </control>
          </mc:Choice>
        </mc:AlternateContent>
        <mc:AlternateContent xmlns:mc="http://schemas.openxmlformats.org/markup-compatibility/2006">
          <mc:Choice Requires="x14">
            <control shapeId="5882447" r:id="rId11" name="Spinner 12879">
              <controlPr defaultSize="0" print="0" autoPict="0">
                <anchor moveWithCells="1" sizeWithCells="1">
                  <from>
                    <xdr:col>99</xdr:col>
                    <xdr:colOff>171450</xdr:colOff>
                    <xdr:row>61</xdr:row>
                    <xdr:rowOff>0</xdr:rowOff>
                  </from>
                  <to>
                    <xdr:col>100</xdr:col>
                    <xdr:colOff>0</xdr:colOff>
                    <xdr:row>64</xdr:row>
                    <xdr:rowOff>0</xdr:rowOff>
                  </to>
                </anchor>
              </controlPr>
            </control>
          </mc:Choice>
        </mc:AlternateContent>
        <mc:AlternateContent xmlns:mc="http://schemas.openxmlformats.org/markup-compatibility/2006">
          <mc:Choice Requires="x14">
            <control shapeId="6571932" r:id="rId12" name="Spinner 18332">
              <controlPr defaultSize="0" print="0" autoPict="0">
                <anchor moveWithCells="1" sizeWithCells="1">
                  <from>
                    <xdr:col>102</xdr:col>
                    <xdr:colOff>47625</xdr:colOff>
                    <xdr:row>59</xdr:row>
                    <xdr:rowOff>0</xdr:rowOff>
                  </from>
                  <to>
                    <xdr:col>102</xdr:col>
                    <xdr:colOff>276225</xdr:colOff>
                    <xdr:row>62</xdr:row>
                    <xdr:rowOff>9525</xdr:rowOff>
                  </to>
                </anchor>
              </controlPr>
            </control>
          </mc:Choice>
        </mc:AlternateContent>
        <mc:AlternateContent xmlns:mc="http://schemas.openxmlformats.org/markup-compatibility/2006">
          <mc:Choice Requires="x14">
            <control shapeId="8821715" r:id="rId13" name="Spinner 30675">
              <controlPr defaultSize="0" print="0" autoPict="0">
                <anchor moveWithCells="1" sizeWithCells="1">
                  <from>
                    <xdr:col>85</xdr:col>
                    <xdr:colOff>171450</xdr:colOff>
                    <xdr:row>66</xdr:row>
                    <xdr:rowOff>47625</xdr:rowOff>
                  </from>
                  <to>
                    <xdr:col>85</xdr:col>
                    <xdr:colOff>381000</xdr:colOff>
                    <xdr:row>70</xdr:row>
                    <xdr:rowOff>76200</xdr:rowOff>
                  </to>
                </anchor>
              </controlPr>
            </control>
          </mc:Choice>
        </mc:AlternateContent>
        <mc:AlternateContent xmlns:mc="http://schemas.openxmlformats.org/markup-compatibility/2006">
          <mc:Choice Requires="x14">
            <control shapeId="9480980" r:id="rId14" name="Spinner 33556">
              <controlPr defaultSize="0" print="0" autoPict="0">
                <anchor moveWithCells="1" sizeWithCells="1">
                  <from>
                    <xdr:col>9</xdr:col>
                    <xdr:colOff>142875</xdr:colOff>
                    <xdr:row>12</xdr:row>
                    <xdr:rowOff>114300</xdr:rowOff>
                  </from>
                  <to>
                    <xdr:col>9</xdr:col>
                    <xdr:colOff>371475</xdr:colOff>
                    <xdr:row>16</xdr:row>
                    <xdr:rowOff>9525</xdr:rowOff>
                  </to>
                </anchor>
              </controlPr>
            </control>
          </mc:Choice>
        </mc:AlternateContent>
        <mc:AlternateContent xmlns:mc="http://schemas.openxmlformats.org/markup-compatibility/2006">
          <mc:Choice Requires="x14">
            <control shapeId="9921885" r:id="rId15" name="Spinner 35165">
              <controlPr defaultSize="0" print="0" autoPict="0">
                <anchor moveWithCells="1" sizeWithCells="1">
                  <from>
                    <xdr:col>14</xdr:col>
                    <xdr:colOff>381000</xdr:colOff>
                    <xdr:row>62</xdr:row>
                    <xdr:rowOff>123825</xdr:rowOff>
                  </from>
                  <to>
                    <xdr:col>15</xdr:col>
                    <xdr:colOff>200025</xdr:colOff>
                    <xdr:row>65</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63"/>
  <sheetViews>
    <sheetView zoomScale="60" zoomScaleNormal="60" workbookViewId="0"/>
  </sheetViews>
  <sheetFormatPr baseColWidth="10" defaultColWidth="11" defaultRowHeight="12.75"/>
  <cols>
    <col min="1" max="1" width="2.5703125" style="1140" customWidth="1"/>
    <col min="2" max="2" width="20.5703125" style="1140" customWidth="1"/>
    <col min="3" max="7" width="15.5703125" style="1140" customWidth="1"/>
    <col min="8" max="8" width="11" style="1140" customWidth="1"/>
    <col min="9" max="9" width="2.5703125" style="1140" customWidth="1"/>
    <col min="10" max="21" width="11" style="1140" customWidth="1"/>
    <col min="22" max="22" width="2.7109375" style="1140" customWidth="1"/>
    <col min="23" max="23" width="2.5703125" style="1140" customWidth="1"/>
    <col min="24" max="24" width="15.5703125" style="1140" customWidth="1"/>
    <col min="25" max="25" width="11" style="1140" customWidth="1"/>
    <col min="26" max="34" width="11" style="1140"/>
    <col min="35" max="36" width="2.5703125" style="1140" customWidth="1"/>
    <col min="37" max="44" width="15.5703125" style="1140" customWidth="1"/>
    <col min="45" max="46" width="2.5703125" style="1140" customWidth="1"/>
    <col min="47" max="47" width="18.5703125" style="1140" customWidth="1"/>
    <col min="48" max="52" width="15.5703125" style="1140" customWidth="1"/>
    <col min="53" max="54" width="5.5703125" style="1140" customWidth="1"/>
    <col min="55" max="55" width="7.140625" style="1140" customWidth="1"/>
    <col min="56" max="62" width="11.7109375" style="1140" customWidth="1"/>
    <col min="63" max="63" width="9.5703125" style="1140" customWidth="1"/>
    <col min="64" max="73" width="11.7109375" style="1140" customWidth="1"/>
    <col min="74" max="16384" width="11" style="1140"/>
  </cols>
  <sheetData>
    <row r="1" spans="1:73" ht="40.15" customHeight="1" thickBot="1">
      <c r="A1" s="1133"/>
      <c r="B1" s="1134"/>
      <c r="C1" s="1133"/>
      <c r="D1" s="1133"/>
      <c r="E1" s="1133"/>
      <c r="F1" s="1133"/>
      <c r="G1" s="1133"/>
      <c r="H1" s="1133"/>
      <c r="I1" s="1135"/>
      <c r="J1" s="1488" t="s">
        <v>1162</v>
      </c>
      <c r="K1" s="1488"/>
      <c r="L1" s="1488"/>
      <c r="M1" s="1488"/>
      <c r="N1" s="1488"/>
      <c r="O1" s="1488"/>
      <c r="P1" s="1488"/>
      <c r="Q1" s="1488"/>
      <c r="R1" s="1488"/>
      <c r="S1" s="1488"/>
      <c r="T1" s="1488"/>
      <c r="U1" s="1488"/>
      <c r="V1" s="1136"/>
      <c r="W1" s="1137"/>
      <c r="X1" s="1489" t="s">
        <v>925</v>
      </c>
      <c r="Y1" s="1489"/>
      <c r="Z1" s="1489"/>
      <c r="AA1" s="1489"/>
      <c r="AB1" s="1489"/>
      <c r="AC1" s="1489"/>
      <c r="AD1" s="1489"/>
      <c r="AE1" s="1489"/>
      <c r="AF1" s="1489"/>
      <c r="AG1" s="1489"/>
      <c r="AH1" s="1489"/>
      <c r="AI1" s="1138"/>
      <c r="AJ1" s="1490" t="s">
        <v>1163</v>
      </c>
      <c r="AK1" s="1491"/>
      <c r="AL1" s="1491"/>
      <c r="AM1" s="1491"/>
      <c r="AN1" s="1491"/>
      <c r="AO1" s="1491"/>
      <c r="AP1" s="1491"/>
      <c r="AQ1" s="1491"/>
      <c r="AR1" s="1491"/>
      <c r="AS1" s="1492"/>
      <c r="AT1" s="1493" t="s">
        <v>926</v>
      </c>
      <c r="AU1" s="1494"/>
      <c r="AV1" s="1494"/>
      <c r="AW1" s="1494"/>
      <c r="AX1" s="1494"/>
      <c r="AY1" s="1494"/>
      <c r="AZ1" s="1494"/>
      <c r="BA1" s="1494"/>
      <c r="BB1" s="1494"/>
      <c r="BC1" s="1494"/>
      <c r="BD1" s="1494"/>
      <c r="BE1" s="1494"/>
      <c r="BF1" s="1494"/>
      <c r="BG1" s="1494"/>
      <c r="BH1" s="1494"/>
      <c r="BI1" s="1494"/>
      <c r="BJ1" s="1494"/>
      <c r="BK1" s="1494"/>
      <c r="BL1" s="1495"/>
      <c r="BM1" s="1479" t="s">
        <v>927</v>
      </c>
      <c r="BN1" s="1480"/>
      <c r="BO1" s="1480"/>
      <c r="BP1" s="1480"/>
      <c r="BQ1" s="1480"/>
      <c r="BR1" s="1480"/>
      <c r="BS1" s="1480"/>
      <c r="BT1" s="1481"/>
      <c r="BU1" s="1139"/>
    </row>
    <row r="2" spans="1:73" ht="17.45" customHeight="1">
      <c r="A2" s="1141" t="s">
        <v>928</v>
      </c>
      <c r="B2" s="1139"/>
      <c r="C2" s="1139"/>
      <c r="D2" s="1139"/>
      <c r="E2" s="1139"/>
      <c r="F2" s="1139"/>
      <c r="G2" s="1142"/>
      <c r="H2" s="1482" t="s">
        <v>1164</v>
      </c>
      <c r="I2" s="916"/>
      <c r="J2" s="1143" t="s">
        <v>1165</v>
      </c>
      <c r="K2" s="916"/>
      <c r="L2" s="916"/>
      <c r="M2" s="916"/>
      <c r="N2" s="916"/>
      <c r="O2" s="916"/>
      <c r="P2" s="916"/>
      <c r="Q2" s="916"/>
      <c r="R2" s="916"/>
      <c r="S2" s="916"/>
      <c r="T2" s="916"/>
      <c r="U2" s="916"/>
      <c r="V2" s="916"/>
      <c r="W2" s="1144"/>
      <c r="X2" s="1145" t="s">
        <v>929</v>
      </c>
      <c r="Y2" s="1144"/>
      <c r="Z2" s="1144"/>
      <c r="AA2" s="1144"/>
      <c r="AB2" s="1144"/>
      <c r="AC2" s="1144"/>
      <c r="AD2" s="1144"/>
      <c r="AE2" s="1144"/>
      <c r="AF2" s="1144"/>
      <c r="AG2" s="1144"/>
      <c r="AH2" s="1146"/>
      <c r="AI2" s="1144"/>
      <c r="AJ2" s="1147"/>
      <c r="AK2" s="1147"/>
      <c r="AL2" s="1147"/>
      <c r="AM2" s="1147"/>
      <c r="AN2" s="1147"/>
      <c r="AO2" s="1147"/>
      <c r="AP2" s="1147"/>
      <c r="AQ2" s="1147"/>
      <c r="AR2" s="1147"/>
      <c r="AS2" s="1139"/>
      <c r="AT2" s="1145" t="s">
        <v>696</v>
      </c>
      <c r="AU2" s="1147"/>
      <c r="AV2" s="1147"/>
      <c r="AW2" s="1147"/>
      <c r="AX2" s="1147"/>
      <c r="AY2" s="1147"/>
      <c r="AZ2" s="1147"/>
      <c r="BA2" s="1147"/>
      <c r="BB2" s="1147"/>
      <c r="BC2" s="1147"/>
      <c r="BD2" s="1144"/>
      <c r="BE2" s="1144"/>
      <c r="BF2" s="1144"/>
      <c r="BG2" s="1144"/>
      <c r="BH2" s="1144"/>
      <c r="BI2" s="1144"/>
      <c r="BJ2" s="1144"/>
      <c r="BK2" s="1144"/>
      <c r="BL2" s="1144"/>
      <c r="BM2" s="1148"/>
      <c r="BN2" s="1148"/>
      <c r="BO2" s="1148"/>
      <c r="BP2" s="1148"/>
      <c r="BQ2" s="1148"/>
      <c r="BR2" s="1148"/>
      <c r="BS2" s="1148"/>
      <c r="BT2" s="1148"/>
      <c r="BU2" s="1139"/>
    </row>
    <row r="3" spans="1:73" ht="17.45" customHeight="1" thickBot="1">
      <c r="A3" s="1149" t="s">
        <v>1166</v>
      </c>
      <c r="B3" s="916"/>
      <c r="C3" s="916"/>
      <c r="D3" s="916"/>
      <c r="E3" s="916"/>
      <c r="F3" s="916"/>
      <c r="G3" s="916"/>
      <c r="H3" s="1483"/>
      <c r="I3" s="916"/>
      <c r="J3" s="916"/>
      <c r="K3" s="916"/>
      <c r="L3" s="916"/>
      <c r="M3" s="916"/>
      <c r="N3" s="916"/>
      <c r="O3" s="916"/>
      <c r="P3" s="916"/>
      <c r="Q3" s="916"/>
      <c r="R3" s="916"/>
      <c r="S3" s="916"/>
      <c r="T3" s="916"/>
      <c r="U3" s="916"/>
      <c r="V3" s="916"/>
      <c r="W3" s="1144"/>
      <c r="X3" s="1150" t="s">
        <v>1044</v>
      </c>
      <c r="Y3" s="1150"/>
      <c r="Z3" s="1150"/>
      <c r="AA3" s="1150"/>
      <c r="AB3" s="1150"/>
      <c r="AC3" s="1150"/>
      <c r="AD3" s="1150"/>
      <c r="AE3" s="1150"/>
      <c r="AF3" s="1150"/>
      <c r="AG3" s="1150"/>
      <c r="AH3" s="1150"/>
      <c r="AI3" s="1150"/>
      <c r="AJ3" s="1144"/>
      <c r="AK3" s="1144"/>
      <c r="AL3" s="1144"/>
      <c r="AM3" s="1144"/>
      <c r="AN3" s="1144"/>
      <c r="AO3" s="1144"/>
      <c r="AP3" s="1144"/>
      <c r="AQ3" s="1144"/>
      <c r="AR3" s="1144"/>
      <c r="AS3" s="916"/>
      <c r="AT3" s="1144"/>
      <c r="AU3" s="1144"/>
      <c r="AV3" s="1144"/>
      <c r="AW3" s="1144"/>
      <c r="AX3" s="1144"/>
      <c r="AY3" s="1144"/>
      <c r="AZ3" s="1484"/>
      <c r="BA3" s="1144"/>
      <c r="BB3" s="1147"/>
      <c r="BC3" s="1144"/>
      <c r="BD3" s="1144"/>
      <c r="BE3" s="1144"/>
      <c r="BF3" s="1144"/>
      <c r="BG3" s="1144"/>
      <c r="BH3" s="1144"/>
      <c r="BI3" s="1144"/>
      <c r="BJ3" s="1144"/>
      <c r="BK3" s="1144"/>
      <c r="BL3" s="1144"/>
      <c r="BM3" s="1148"/>
      <c r="BN3" s="1148"/>
      <c r="BO3" s="1148"/>
      <c r="BP3" s="1148"/>
      <c r="BQ3" s="1148"/>
      <c r="BR3" s="1148"/>
      <c r="BS3" s="1148"/>
      <c r="BT3" s="1148"/>
      <c r="BU3" s="1139"/>
    </row>
    <row r="4" spans="1:73" ht="17.45" customHeight="1">
      <c r="A4" s="916"/>
      <c r="B4" s="916"/>
      <c r="C4" s="916"/>
      <c r="D4" s="916"/>
      <c r="E4" s="916"/>
      <c r="F4" s="916"/>
      <c r="G4" s="916"/>
      <c r="H4" s="916"/>
      <c r="I4" s="1151"/>
      <c r="J4" s="916" t="s">
        <v>681</v>
      </c>
      <c r="K4" s="913" t="s">
        <v>1167</v>
      </c>
      <c r="L4" s="913"/>
      <c r="M4" s="916"/>
      <c r="N4" s="916"/>
      <c r="O4" s="916"/>
      <c r="P4" s="916"/>
      <c r="Q4" s="916"/>
      <c r="R4" s="916"/>
      <c r="S4" s="916"/>
      <c r="T4" s="916"/>
      <c r="U4" s="916"/>
      <c r="V4" s="916"/>
      <c r="W4" s="1152"/>
      <c r="X4" s="1153" t="s">
        <v>681</v>
      </c>
      <c r="Y4" s="915" t="s">
        <v>994</v>
      </c>
      <c r="Z4" s="1150"/>
      <c r="AA4" s="1150"/>
      <c r="AB4" s="1150"/>
      <c r="AC4" s="1150"/>
      <c r="AD4" s="1150"/>
      <c r="AE4" s="1150"/>
      <c r="AF4" s="1150"/>
      <c r="AG4" s="1150"/>
      <c r="AH4" s="1150"/>
      <c r="AI4" s="1150"/>
      <c r="AJ4" s="1154"/>
      <c r="AK4" s="1154"/>
      <c r="AL4" s="1154"/>
      <c r="AM4" s="1154"/>
      <c r="AN4" s="1154"/>
      <c r="AO4" s="1154"/>
      <c r="AP4" s="1154"/>
      <c r="AQ4" s="1154"/>
      <c r="AR4" s="1154"/>
      <c r="AS4" s="916"/>
      <c r="AT4" s="1144"/>
      <c r="AU4" s="1154"/>
      <c r="AV4" s="1154"/>
      <c r="AW4" s="1154"/>
      <c r="AX4" s="1154"/>
      <c r="AY4" s="1154"/>
      <c r="AZ4" s="1485"/>
      <c r="BA4" s="1144"/>
      <c r="BB4" s="1147"/>
      <c r="BC4" s="1154" t="s">
        <v>681</v>
      </c>
      <c r="BD4" s="1155" t="s">
        <v>695</v>
      </c>
      <c r="BE4" s="1144"/>
      <c r="BF4" s="1144"/>
      <c r="BG4" s="1144"/>
      <c r="BH4" s="1144"/>
      <c r="BI4" s="1144"/>
      <c r="BJ4" s="1144"/>
      <c r="BK4" s="1144"/>
      <c r="BL4" s="1156" t="s">
        <v>694</v>
      </c>
      <c r="BM4" s="1148"/>
      <c r="BN4" s="1148"/>
      <c r="BO4" s="1148"/>
      <c r="BP4" s="1148"/>
      <c r="BQ4" s="1148"/>
      <c r="BR4" s="1148"/>
      <c r="BS4" s="1148"/>
      <c r="BT4" s="1148"/>
      <c r="BU4" s="1139"/>
    </row>
    <row r="5" spans="1:73" ht="17.45" customHeight="1">
      <c r="A5" s="1083" t="s">
        <v>930</v>
      </c>
      <c r="B5" s="916"/>
      <c r="C5" s="916"/>
      <c r="D5" s="916"/>
      <c r="E5" s="916"/>
      <c r="F5" s="916"/>
      <c r="G5" s="916"/>
      <c r="H5" s="916"/>
      <c r="I5" s="916"/>
      <c r="J5" s="1143" t="s">
        <v>1231</v>
      </c>
      <c r="K5" s="916"/>
      <c r="L5" s="916"/>
      <c r="M5" s="913" t="s">
        <v>1168</v>
      </c>
      <c r="N5" s="916"/>
      <c r="O5" s="916"/>
      <c r="P5" s="916"/>
      <c r="Q5" s="916" t="s">
        <v>1169</v>
      </c>
      <c r="R5" s="916"/>
      <c r="S5" s="916"/>
      <c r="T5" s="916"/>
      <c r="U5" s="916"/>
      <c r="V5" s="916"/>
      <c r="W5" s="1150"/>
      <c r="X5" s="1157" t="s">
        <v>1076</v>
      </c>
      <c r="Y5" s="1150"/>
      <c r="Z5" s="915" t="s">
        <v>1170</v>
      </c>
      <c r="AA5" s="1150"/>
      <c r="AB5" s="1150"/>
      <c r="AC5" s="1150"/>
      <c r="AD5" s="1150" t="s">
        <v>1169</v>
      </c>
      <c r="AE5" s="1150"/>
      <c r="AF5" s="1150"/>
      <c r="AG5" s="1150"/>
      <c r="AH5" s="1150"/>
      <c r="AI5" s="1150"/>
      <c r="AJ5" s="1158"/>
      <c r="AK5" s="1158"/>
      <c r="AL5" s="1158"/>
      <c r="AM5" s="1158"/>
      <c r="AN5" s="1158"/>
      <c r="AO5" s="1158"/>
      <c r="AP5" s="1158"/>
      <c r="AQ5" s="1158"/>
      <c r="AR5" s="1158"/>
      <c r="AS5" s="916"/>
      <c r="AT5" s="1144"/>
      <c r="AU5" s="1159" t="s">
        <v>693</v>
      </c>
      <c r="AV5" s="1158"/>
      <c r="AW5" s="1158"/>
      <c r="AX5" s="1158"/>
      <c r="AY5" s="1158"/>
      <c r="AZ5" s="1486"/>
      <c r="BA5" s="1144"/>
      <c r="BB5" s="1147"/>
      <c r="BC5" s="1144"/>
      <c r="BD5" s="1160"/>
      <c r="BE5" s="1144"/>
      <c r="BF5" s="1144"/>
      <c r="BG5" s="1144"/>
      <c r="BH5" s="1144"/>
      <c r="BI5" s="1144"/>
      <c r="BJ5" s="1144"/>
      <c r="BK5" s="1144"/>
      <c r="BL5" s="1144"/>
      <c r="BM5" s="1148"/>
      <c r="BN5" s="1148"/>
      <c r="BO5" s="1148"/>
      <c r="BP5" s="1148"/>
      <c r="BQ5" s="1148"/>
      <c r="BR5" s="1148"/>
      <c r="BS5" s="1148"/>
      <c r="BT5" s="1148"/>
      <c r="BU5" s="1139"/>
    </row>
    <row r="6" spans="1:73" ht="17.45" customHeight="1">
      <c r="A6" s="916"/>
      <c r="B6" s="916"/>
      <c r="C6" s="916"/>
      <c r="D6" s="916"/>
      <c r="E6" s="916"/>
      <c r="F6" s="916"/>
      <c r="G6" s="916"/>
      <c r="H6" s="916"/>
      <c r="I6" s="916"/>
      <c r="J6" s="916"/>
      <c r="K6" s="916"/>
      <c r="L6" s="916"/>
      <c r="M6" s="916"/>
      <c r="N6" s="916"/>
      <c r="O6" s="916"/>
      <c r="P6" s="916"/>
      <c r="Q6" s="916"/>
      <c r="R6" s="916"/>
      <c r="S6" s="916"/>
      <c r="T6" s="916"/>
      <c r="U6" s="916"/>
      <c r="V6" s="916"/>
      <c r="W6" s="1150"/>
      <c r="X6" s="1150"/>
      <c r="Y6" s="1150"/>
      <c r="Z6" s="1150"/>
      <c r="AA6" s="1150"/>
      <c r="AB6" s="1150"/>
      <c r="AC6" s="1150"/>
      <c r="AD6" s="1150"/>
      <c r="AE6" s="1150"/>
      <c r="AF6" s="1150"/>
      <c r="AG6" s="1150"/>
      <c r="AH6" s="1150"/>
      <c r="AI6" s="1150"/>
      <c r="AJ6" s="1158"/>
      <c r="AK6" s="1158"/>
      <c r="AL6" s="1158"/>
      <c r="AM6" s="1158"/>
      <c r="AN6" s="1158"/>
      <c r="AO6" s="1158"/>
      <c r="AP6" s="1158"/>
      <c r="AQ6" s="1158"/>
      <c r="AR6" s="1158"/>
      <c r="AS6" s="916"/>
      <c r="AT6" s="1144"/>
      <c r="AU6" s="1161" t="s">
        <v>692</v>
      </c>
      <c r="AV6" s="1158"/>
      <c r="AW6" s="1158"/>
      <c r="AX6" s="1158"/>
      <c r="AY6" s="1144"/>
      <c r="AZ6" s="1158"/>
      <c r="BA6" s="1144"/>
      <c r="BB6" s="1147"/>
      <c r="BC6" s="1144"/>
      <c r="BD6" s="1160"/>
      <c r="BE6" s="1144"/>
      <c r="BF6" s="1144"/>
      <c r="BG6" s="1144"/>
      <c r="BH6" s="1144"/>
      <c r="BI6" s="1144"/>
      <c r="BJ6" s="1144"/>
      <c r="BK6" s="1144"/>
      <c r="BL6" s="1160" t="s">
        <v>690</v>
      </c>
      <c r="BM6" s="1148"/>
      <c r="BN6" s="914" t="s">
        <v>691</v>
      </c>
      <c r="BO6" s="1148"/>
      <c r="BP6" s="1148"/>
      <c r="BQ6" s="1148"/>
      <c r="BR6" s="1148"/>
      <c r="BS6" s="1148"/>
      <c r="BT6" s="1148"/>
      <c r="BU6" s="1139"/>
    </row>
    <row r="7" spans="1:73" ht="17.45" customHeight="1">
      <c r="A7" s="916"/>
      <c r="B7" s="916" t="s">
        <v>931</v>
      </c>
      <c r="C7" s="916" t="s">
        <v>1171</v>
      </c>
      <c r="D7" s="916"/>
      <c r="E7" s="916"/>
      <c r="F7" s="916"/>
      <c r="G7" s="916"/>
      <c r="H7" s="916"/>
      <c r="I7" s="916"/>
      <c r="J7" s="916"/>
      <c r="K7" s="916"/>
      <c r="L7" s="916"/>
      <c r="M7" s="916"/>
      <c r="N7" s="916"/>
      <c r="O7" s="916"/>
      <c r="P7" s="916"/>
      <c r="Q7" s="916"/>
      <c r="R7" s="916"/>
      <c r="S7" s="916"/>
      <c r="T7" s="916"/>
      <c r="U7" s="916"/>
      <c r="V7" s="916"/>
      <c r="W7" s="1150"/>
      <c r="X7" s="1150"/>
      <c r="Y7" s="1150"/>
      <c r="Z7" s="1150"/>
      <c r="AA7" s="1150"/>
      <c r="AB7" s="1150"/>
      <c r="AC7" s="1150"/>
      <c r="AD7" s="1150"/>
      <c r="AE7" s="1150"/>
      <c r="AF7" s="1150"/>
      <c r="AG7" s="1150"/>
      <c r="AH7" s="1150"/>
      <c r="AI7" s="1150"/>
      <c r="AJ7" s="1158"/>
      <c r="AK7" s="1158"/>
      <c r="AL7" s="1158"/>
      <c r="AM7" s="1158"/>
      <c r="AN7" s="1158"/>
      <c r="AO7" s="1158"/>
      <c r="AP7" s="1158"/>
      <c r="AQ7" s="1158"/>
      <c r="AR7" s="1158"/>
      <c r="AS7" s="916"/>
      <c r="AT7" s="1144"/>
      <c r="AU7" s="1158"/>
      <c r="AV7" s="1158"/>
      <c r="AW7" s="1158"/>
      <c r="AX7" s="1158"/>
      <c r="AY7" s="1144"/>
      <c r="AZ7" s="1158"/>
      <c r="BA7" s="1158"/>
      <c r="BB7" s="1158"/>
      <c r="BC7" s="1144"/>
      <c r="BD7" s="1144"/>
      <c r="BE7" s="1144"/>
      <c r="BF7" s="1144"/>
      <c r="BG7" s="1144"/>
      <c r="BH7" s="1144"/>
      <c r="BI7" s="1144"/>
      <c r="BJ7" s="1144"/>
      <c r="BK7" s="1144"/>
      <c r="BL7" s="1144" t="s">
        <v>690</v>
      </c>
      <c r="BM7" s="1148"/>
      <c r="BN7" s="914" t="s">
        <v>689</v>
      </c>
      <c r="BO7" s="1148"/>
      <c r="BP7" s="1148"/>
      <c r="BQ7" s="1148"/>
      <c r="BR7" s="1148"/>
      <c r="BS7" s="1148"/>
      <c r="BT7" s="1148"/>
      <c r="BU7" s="1139"/>
    </row>
    <row r="8" spans="1:73" ht="17.45" customHeight="1">
      <c r="A8" s="916"/>
      <c r="B8" s="916"/>
      <c r="C8" s="916" t="s">
        <v>1172</v>
      </c>
      <c r="D8" s="916"/>
      <c r="E8" s="916"/>
      <c r="F8" s="916"/>
      <c r="G8" s="916"/>
      <c r="H8" s="916"/>
      <c r="I8" s="916"/>
      <c r="J8" s="916"/>
      <c r="K8" s="916"/>
      <c r="L8" s="916"/>
      <c r="M8" s="916"/>
      <c r="N8" s="916"/>
      <c r="O8" s="916"/>
      <c r="P8" s="916"/>
      <c r="Q8" s="916"/>
      <c r="R8" s="916"/>
      <c r="S8" s="916"/>
      <c r="T8" s="916"/>
      <c r="U8" s="916"/>
      <c r="V8" s="916"/>
      <c r="W8" s="1150"/>
      <c r="X8" s="1150"/>
      <c r="Y8" s="1150"/>
      <c r="Z8" s="1150"/>
      <c r="AA8" s="1150"/>
      <c r="AB8" s="1150"/>
      <c r="AC8" s="1150"/>
      <c r="AD8" s="1150"/>
      <c r="AE8" s="1150"/>
      <c r="AF8" s="1150"/>
      <c r="AG8" s="1150"/>
      <c r="AH8" s="1150"/>
      <c r="AI8" s="1150"/>
      <c r="AJ8" s="1158"/>
      <c r="AK8" s="1158"/>
      <c r="AL8" s="1158"/>
      <c r="AM8" s="1158"/>
      <c r="AN8" s="1158"/>
      <c r="AO8" s="1158"/>
      <c r="AP8" s="1158"/>
      <c r="AQ8" s="1158"/>
      <c r="AR8" s="1158"/>
      <c r="AS8" s="916"/>
      <c r="AT8" s="1144"/>
      <c r="AU8" s="1158" t="s">
        <v>530</v>
      </c>
      <c r="AV8" s="1158"/>
      <c r="AW8" s="1158"/>
      <c r="AX8" s="1158"/>
      <c r="AY8" s="1144"/>
      <c r="AZ8" s="1158"/>
      <c r="BA8" s="1158"/>
      <c r="BB8" s="1158"/>
      <c r="BC8" s="1144"/>
      <c r="BD8" s="1144"/>
      <c r="BE8" s="1144"/>
      <c r="BF8" s="1144"/>
      <c r="BG8" s="1144"/>
      <c r="BH8" s="1144"/>
      <c r="BI8" s="1144"/>
      <c r="BJ8" s="1144"/>
      <c r="BK8" s="1144"/>
      <c r="BL8" s="1144" t="s">
        <v>688</v>
      </c>
      <c r="BM8" s="1162"/>
      <c r="BN8" s="914" t="s">
        <v>687</v>
      </c>
      <c r="BO8" s="1148"/>
      <c r="BP8" s="1148"/>
      <c r="BQ8" s="1148"/>
      <c r="BR8" s="1148"/>
      <c r="BS8" s="1148"/>
      <c r="BT8" s="1148"/>
      <c r="BU8" s="1139"/>
    </row>
    <row r="9" spans="1:73" ht="17.45" customHeight="1">
      <c r="A9" s="916"/>
      <c r="B9" s="916" t="s">
        <v>932</v>
      </c>
      <c r="C9" s="916" t="s">
        <v>1173</v>
      </c>
      <c r="D9" s="916"/>
      <c r="E9" s="916"/>
      <c r="F9" s="916"/>
      <c r="G9" s="1163"/>
      <c r="H9" s="1163" t="s">
        <v>1174</v>
      </c>
      <c r="I9" s="916"/>
      <c r="J9" s="916"/>
      <c r="K9" s="916"/>
      <c r="L9" s="916"/>
      <c r="M9" s="916"/>
      <c r="N9" s="916"/>
      <c r="O9" s="916"/>
      <c r="P9" s="916"/>
      <c r="Q9" s="916"/>
      <c r="R9" s="916"/>
      <c r="S9" s="916"/>
      <c r="T9" s="916"/>
      <c r="U9" s="916"/>
      <c r="V9" s="916"/>
      <c r="W9" s="1150"/>
      <c r="X9" s="1150"/>
      <c r="Y9" s="1150"/>
      <c r="Z9" s="1150"/>
      <c r="AA9" s="1150"/>
      <c r="AB9" s="1150"/>
      <c r="AC9" s="1150"/>
      <c r="AD9" s="1150"/>
      <c r="AE9" s="1150"/>
      <c r="AF9" s="1150"/>
      <c r="AG9" s="1150"/>
      <c r="AH9" s="1150"/>
      <c r="AI9" s="1150"/>
      <c r="AJ9" s="1158"/>
      <c r="AK9" s="1158"/>
      <c r="AL9" s="1158"/>
      <c r="AM9" s="1158"/>
      <c r="AN9" s="1158"/>
      <c r="AO9" s="1158"/>
      <c r="AP9" s="1158"/>
      <c r="AQ9" s="1158"/>
      <c r="AR9" s="1158"/>
      <c r="AS9" s="916"/>
      <c r="AT9" s="1144"/>
      <c r="AU9" s="1158" t="s">
        <v>686</v>
      </c>
      <c r="AV9" s="1158"/>
      <c r="AW9" s="1158"/>
      <c r="AX9" s="1158"/>
      <c r="AY9" s="1158"/>
      <c r="AZ9" s="1158"/>
      <c r="BA9" s="1158"/>
      <c r="BB9" s="1158"/>
      <c r="BC9" s="1144"/>
      <c r="BD9" s="1144"/>
      <c r="BE9" s="1144"/>
      <c r="BF9" s="1144"/>
      <c r="BG9" s="1144"/>
      <c r="BH9" s="1144"/>
      <c r="BI9" s="1144"/>
      <c r="BJ9" s="1144"/>
      <c r="BK9" s="1144"/>
      <c r="BL9" s="1144" t="s">
        <v>685</v>
      </c>
      <c r="BM9" s="1148"/>
      <c r="BN9" s="914" t="s">
        <v>684</v>
      </c>
      <c r="BO9" s="1148"/>
      <c r="BP9" s="1148"/>
      <c r="BQ9" s="1148"/>
      <c r="BR9" s="1148"/>
      <c r="BS9" s="1148"/>
      <c r="BT9" s="1148"/>
      <c r="BU9" s="1139"/>
    </row>
    <row r="10" spans="1:73" ht="17.45" customHeight="1">
      <c r="A10" s="1083"/>
      <c r="B10" s="916"/>
      <c r="C10" s="916"/>
      <c r="D10" s="916"/>
      <c r="E10" s="916"/>
      <c r="F10" s="916"/>
      <c r="G10" s="916"/>
      <c r="H10" s="916"/>
      <c r="I10" s="916"/>
      <c r="J10" s="916"/>
      <c r="K10" s="916"/>
      <c r="L10" s="916"/>
      <c r="M10" s="916"/>
      <c r="N10" s="916"/>
      <c r="O10" s="916"/>
      <c r="P10" s="916"/>
      <c r="Q10" s="916"/>
      <c r="R10" s="916"/>
      <c r="S10" s="916"/>
      <c r="T10" s="916"/>
      <c r="U10" s="916"/>
      <c r="V10" s="916"/>
      <c r="W10" s="1150"/>
      <c r="X10" s="1150"/>
      <c r="Y10" s="1150"/>
      <c r="Z10" s="1150"/>
      <c r="AA10" s="1150"/>
      <c r="AB10" s="1150"/>
      <c r="AC10" s="1150"/>
      <c r="AD10" s="1150"/>
      <c r="AE10" s="1150"/>
      <c r="AF10" s="1150"/>
      <c r="AG10" s="1150"/>
      <c r="AH10" s="1150"/>
      <c r="AI10" s="1150"/>
      <c r="AJ10" s="1158"/>
      <c r="AK10" s="1158"/>
      <c r="AL10" s="1158"/>
      <c r="AM10" s="1158"/>
      <c r="AN10" s="1158"/>
      <c r="AO10" s="1158"/>
      <c r="AP10" s="1158"/>
      <c r="AQ10" s="1158"/>
      <c r="AR10" s="1158"/>
      <c r="AS10" s="916"/>
      <c r="AT10" s="1144"/>
      <c r="AU10" s="1158" t="s">
        <v>532</v>
      </c>
      <c r="AV10" s="1158"/>
      <c r="AW10" s="1158"/>
      <c r="AX10" s="1158"/>
      <c r="AY10" s="1158"/>
      <c r="AZ10" s="1158"/>
      <c r="BA10" s="1158"/>
      <c r="BB10" s="1158"/>
      <c r="BC10" s="1144"/>
      <c r="BD10" s="1144"/>
      <c r="BE10" s="1144"/>
      <c r="BF10" s="1144"/>
      <c r="BG10" s="1144"/>
      <c r="BH10" s="1144"/>
      <c r="BI10" s="1144"/>
      <c r="BJ10" s="1144"/>
      <c r="BK10" s="1144"/>
      <c r="BL10" s="1144" t="s">
        <v>683</v>
      </c>
      <c r="BM10" s="1148"/>
      <c r="BN10" s="914" t="s">
        <v>682</v>
      </c>
      <c r="BO10" s="1148"/>
      <c r="BP10" s="1148"/>
      <c r="BQ10" s="1148"/>
      <c r="BR10" s="1148"/>
      <c r="BS10" s="1148"/>
      <c r="BT10" s="1148"/>
      <c r="BU10" s="1139"/>
    </row>
    <row r="11" spans="1:73" ht="17.45" customHeight="1">
      <c r="A11" s="1083" t="s">
        <v>1175</v>
      </c>
      <c r="B11" s="916"/>
      <c r="C11" s="916"/>
      <c r="D11" s="916"/>
      <c r="E11" s="916"/>
      <c r="F11" s="916"/>
      <c r="G11" s="916"/>
      <c r="H11" s="916"/>
      <c r="I11" s="916"/>
      <c r="J11" s="916"/>
      <c r="K11" s="916"/>
      <c r="L11" s="916"/>
      <c r="M11" s="916"/>
      <c r="N11" s="916"/>
      <c r="O11" s="916"/>
      <c r="P11" s="916"/>
      <c r="Q11" s="916"/>
      <c r="R11" s="916"/>
      <c r="S11" s="916"/>
      <c r="T11" s="916"/>
      <c r="U11" s="916"/>
      <c r="V11" s="916"/>
      <c r="W11" s="1150"/>
      <c r="X11" s="1150"/>
      <c r="Y11" s="1150"/>
      <c r="Z11" s="1150"/>
      <c r="AA11" s="1150"/>
      <c r="AB11" s="1150"/>
      <c r="AC11" s="1150"/>
      <c r="AD11" s="1150"/>
      <c r="AE11" s="1150"/>
      <c r="AF11" s="1150"/>
      <c r="AG11" s="1150"/>
      <c r="AH11" s="1150"/>
      <c r="AI11" s="1150"/>
      <c r="AJ11" s="1158"/>
      <c r="AK11" s="1158"/>
      <c r="AL11" s="1158"/>
      <c r="AM11" s="1158"/>
      <c r="AN11" s="1158"/>
      <c r="AO11" s="1158"/>
      <c r="AP11" s="1158"/>
      <c r="AQ11" s="1158"/>
      <c r="AR11" s="1158"/>
      <c r="AS11" s="916"/>
      <c r="AT11" s="1144"/>
      <c r="AU11" s="1158" t="s">
        <v>533</v>
      </c>
      <c r="AV11" s="1158"/>
      <c r="AW11" s="1158"/>
      <c r="AX11" s="1158"/>
      <c r="AY11" s="1158"/>
      <c r="AZ11" s="1158"/>
      <c r="BA11" s="1158"/>
      <c r="BB11" s="1158"/>
      <c r="BC11" s="1144"/>
      <c r="BD11" s="1144"/>
      <c r="BE11" s="1144"/>
      <c r="BF11" s="1144"/>
      <c r="BG11" s="1144"/>
      <c r="BH11" s="1144"/>
      <c r="BI11" s="1144"/>
      <c r="BJ11" s="1144"/>
      <c r="BK11" s="1144"/>
      <c r="BL11" s="1144"/>
      <c r="BM11" s="1148"/>
      <c r="BN11" s="1148"/>
      <c r="BO11" s="1148"/>
      <c r="BP11" s="1148"/>
      <c r="BQ11" s="1148"/>
      <c r="BR11" s="1148"/>
      <c r="BS11" s="1148"/>
      <c r="BT11" s="1148"/>
      <c r="BU11" s="1139"/>
    </row>
    <row r="12" spans="1:73" ht="17.45" customHeight="1">
      <c r="A12" s="916"/>
      <c r="B12" s="916"/>
      <c r="C12" s="916"/>
      <c r="D12" s="916"/>
      <c r="E12" s="916"/>
      <c r="F12" s="916"/>
      <c r="G12" s="916"/>
      <c r="H12" s="916"/>
      <c r="I12" s="916"/>
      <c r="J12" s="916"/>
      <c r="K12" s="916"/>
      <c r="L12" s="916"/>
      <c r="M12" s="916"/>
      <c r="N12" s="916"/>
      <c r="O12" s="916"/>
      <c r="P12" s="916"/>
      <c r="Q12" s="916"/>
      <c r="R12" s="916"/>
      <c r="S12" s="916"/>
      <c r="T12" s="916"/>
      <c r="U12" s="916"/>
      <c r="V12" s="916"/>
      <c r="W12" s="1150"/>
      <c r="X12" s="1150"/>
      <c r="Y12" s="1150"/>
      <c r="Z12" s="1150"/>
      <c r="AA12" s="1150"/>
      <c r="AB12" s="1150"/>
      <c r="AC12" s="1150"/>
      <c r="AD12" s="1150"/>
      <c r="AE12" s="1150"/>
      <c r="AF12" s="1150"/>
      <c r="AG12" s="1150"/>
      <c r="AH12" s="1150"/>
      <c r="AI12" s="1150"/>
      <c r="AJ12" s="1158"/>
      <c r="AK12" s="1158"/>
      <c r="AL12" s="1158"/>
      <c r="AM12" s="1158"/>
      <c r="AN12" s="1158"/>
      <c r="AO12" s="1158"/>
      <c r="AP12" s="1158"/>
      <c r="AQ12" s="1158"/>
      <c r="AR12" s="1158"/>
      <c r="AS12" s="916"/>
      <c r="AT12" s="1144"/>
      <c r="AU12" s="1158" t="s">
        <v>534</v>
      </c>
      <c r="AV12" s="1158"/>
      <c r="AW12" s="1158"/>
      <c r="AX12" s="1158"/>
      <c r="AY12" s="1158"/>
      <c r="AZ12" s="1158"/>
      <c r="BA12" s="1158"/>
      <c r="BB12" s="1158"/>
      <c r="BC12" s="1144"/>
      <c r="BD12" s="1144"/>
      <c r="BE12" s="1144"/>
      <c r="BF12" s="1144"/>
      <c r="BG12" s="1144"/>
      <c r="BH12" s="1144"/>
      <c r="BI12" s="1144"/>
      <c r="BJ12" s="1144"/>
      <c r="BK12" s="1144"/>
      <c r="BL12" s="1144"/>
      <c r="BM12" s="1148"/>
      <c r="BN12" s="1148"/>
      <c r="BO12" s="1148"/>
      <c r="BP12" s="1148"/>
      <c r="BQ12" s="1148"/>
      <c r="BR12" s="1148"/>
      <c r="BS12" s="1148"/>
      <c r="BT12" s="1148"/>
      <c r="BU12" s="1139"/>
    </row>
    <row r="13" spans="1:73" ht="17.100000000000001" customHeight="1">
      <c r="A13" s="916"/>
      <c r="B13" s="916" t="s">
        <v>933</v>
      </c>
      <c r="C13" s="916" t="s">
        <v>934</v>
      </c>
      <c r="D13" s="916"/>
      <c r="E13" s="916"/>
      <c r="F13" s="916"/>
      <c r="G13" s="916"/>
      <c r="H13" s="916"/>
      <c r="I13" s="916"/>
      <c r="J13" s="916"/>
      <c r="K13" s="916"/>
      <c r="L13" s="916"/>
      <c r="M13" s="916"/>
      <c r="N13" s="916"/>
      <c r="O13" s="916"/>
      <c r="P13" s="916"/>
      <c r="Q13" s="916"/>
      <c r="R13" s="916"/>
      <c r="S13" s="916"/>
      <c r="T13" s="916"/>
      <c r="U13" s="916"/>
      <c r="V13" s="916"/>
      <c r="W13" s="1150"/>
      <c r="X13" s="1150"/>
      <c r="Y13" s="1150"/>
      <c r="Z13" s="1150"/>
      <c r="AA13" s="1150"/>
      <c r="AB13" s="1150"/>
      <c r="AC13" s="1150"/>
      <c r="AD13" s="1150"/>
      <c r="AE13" s="1150"/>
      <c r="AF13" s="1150"/>
      <c r="AG13" s="1150"/>
      <c r="AH13" s="1150"/>
      <c r="AI13" s="1150"/>
      <c r="AJ13" s="1158"/>
      <c r="AK13" s="1158"/>
      <c r="AL13" s="1158"/>
      <c r="AM13" s="1158"/>
      <c r="AN13" s="1158"/>
      <c r="AO13" s="1158"/>
      <c r="AP13" s="1158"/>
      <c r="AQ13" s="1158"/>
      <c r="AR13" s="1158"/>
      <c r="AS13" s="916"/>
      <c r="AT13" s="1144"/>
      <c r="AU13" s="1158" t="s">
        <v>535</v>
      </c>
      <c r="AV13" s="1158"/>
      <c r="AW13" s="1158"/>
      <c r="AX13" s="1158"/>
      <c r="AY13" s="1158"/>
      <c r="AZ13" s="1158"/>
      <c r="BA13" s="1158"/>
      <c r="BB13" s="1158"/>
      <c r="BC13" s="1144"/>
      <c r="BD13" s="1144"/>
      <c r="BE13" s="1144"/>
      <c r="BF13" s="1144"/>
      <c r="BG13" s="1144"/>
      <c r="BH13" s="1144"/>
      <c r="BI13" s="1144"/>
      <c r="BJ13" s="1144"/>
      <c r="BK13" s="1144"/>
      <c r="BL13" s="1164"/>
      <c r="BM13" s="1148"/>
      <c r="BN13" s="1148"/>
      <c r="BO13" s="1148"/>
      <c r="BP13" s="1148"/>
      <c r="BQ13" s="1148"/>
      <c r="BR13" s="1148"/>
      <c r="BS13" s="1148"/>
      <c r="BT13" s="1148"/>
      <c r="BU13" s="1139"/>
    </row>
    <row r="14" spans="1:73" ht="17.45" customHeight="1">
      <c r="A14" s="916"/>
      <c r="B14" s="916" t="s">
        <v>935</v>
      </c>
      <c r="C14" s="916" t="s">
        <v>936</v>
      </c>
      <c r="D14" s="916"/>
      <c r="E14" s="916"/>
      <c r="F14" s="916"/>
      <c r="G14" s="916"/>
      <c r="H14" s="916"/>
      <c r="I14" s="916"/>
      <c r="J14" s="916"/>
      <c r="K14" s="916"/>
      <c r="L14" s="916"/>
      <c r="M14" s="916"/>
      <c r="N14" s="916"/>
      <c r="O14" s="916"/>
      <c r="P14" s="916"/>
      <c r="Q14" s="916"/>
      <c r="R14" s="916"/>
      <c r="S14" s="916"/>
      <c r="T14" s="916"/>
      <c r="U14" s="916"/>
      <c r="V14" s="916"/>
      <c r="W14" s="1150"/>
      <c r="X14" s="1150"/>
      <c r="Y14" s="1150"/>
      <c r="Z14" s="1150"/>
      <c r="AA14" s="1150"/>
      <c r="AB14" s="1150"/>
      <c r="AC14" s="1150"/>
      <c r="AD14" s="1150"/>
      <c r="AE14" s="1150"/>
      <c r="AF14" s="1150"/>
      <c r="AG14" s="1150"/>
      <c r="AH14" s="1150"/>
      <c r="AI14" s="1150"/>
      <c r="AJ14" s="1158"/>
      <c r="AK14" s="1158"/>
      <c r="AL14" s="1158"/>
      <c r="AM14" s="1158"/>
      <c r="AN14" s="1158"/>
      <c r="AO14" s="1158"/>
      <c r="AP14" s="1158"/>
      <c r="AQ14" s="1158"/>
      <c r="AR14" s="1158"/>
      <c r="AS14" s="916"/>
      <c r="AT14" s="1144"/>
      <c r="AU14" s="1158"/>
      <c r="AV14" s="1158"/>
      <c r="AW14" s="1158"/>
      <c r="AX14" s="1158"/>
      <c r="AY14" s="1158"/>
      <c r="AZ14" s="1158"/>
      <c r="BA14" s="1158"/>
      <c r="BB14" s="1158"/>
      <c r="BC14" s="1154" t="s">
        <v>681</v>
      </c>
      <c r="BD14" s="915" t="s">
        <v>680</v>
      </c>
      <c r="BE14" s="1144"/>
      <c r="BF14" s="1144"/>
      <c r="BG14" s="1144"/>
      <c r="BH14" s="1144"/>
      <c r="BI14" s="1144"/>
      <c r="BJ14" s="1144"/>
      <c r="BK14" s="1144"/>
      <c r="BL14" s="1144"/>
      <c r="BM14" s="1148"/>
      <c r="BN14" s="914"/>
      <c r="BO14" s="1148"/>
      <c r="BP14" s="1148"/>
      <c r="BQ14" s="1148"/>
      <c r="BR14" s="1148"/>
      <c r="BS14" s="1148"/>
      <c r="BT14" s="1148"/>
      <c r="BU14" s="1139"/>
    </row>
    <row r="15" spans="1:73" ht="17.45" customHeight="1">
      <c r="A15" s="916"/>
      <c r="B15" s="916" t="s">
        <v>937</v>
      </c>
      <c r="C15" s="916" t="s">
        <v>938</v>
      </c>
      <c r="D15" s="916"/>
      <c r="E15" s="916"/>
      <c r="F15" s="916"/>
      <c r="G15" s="916"/>
      <c r="H15" s="916"/>
      <c r="I15" s="916"/>
      <c r="J15" s="916"/>
      <c r="K15" s="916"/>
      <c r="L15" s="916"/>
      <c r="M15" s="916"/>
      <c r="N15" s="916"/>
      <c r="O15" s="916"/>
      <c r="P15" s="916"/>
      <c r="Q15" s="916"/>
      <c r="R15" s="916"/>
      <c r="S15" s="916"/>
      <c r="T15" s="916"/>
      <c r="U15" s="916"/>
      <c r="V15" s="916"/>
      <c r="W15" s="1150"/>
      <c r="X15" s="1150"/>
      <c r="Y15" s="1150"/>
      <c r="Z15" s="1150"/>
      <c r="AA15" s="1150"/>
      <c r="AB15" s="1150"/>
      <c r="AC15" s="1150"/>
      <c r="AD15" s="1150"/>
      <c r="AE15" s="1150"/>
      <c r="AF15" s="1150"/>
      <c r="AG15" s="1150"/>
      <c r="AH15" s="1150"/>
      <c r="AI15" s="1150"/>
      <c r="AJ15" s="1158"/>
      <c r="AK15" s="1158"/>
      <c r="AL15" s="1158"/>
      <c r="AM15" s="1158"/>
      <c r="AN15" s="1158"/>
      <c r="AO15" s="1158"/>
      <c r="AP15" s="1158"/>
      <c r="AQ15" s="1158"/>
      <c r="AR15" s="1158"/>
      <c r="AS15" s="916"/>
      <c r="AT15" s="1144"/>
      <c r="AU15" s="1165" t="s">
        <v>679</v>
      </c>
      <c r="AV15" s="1158"/>
      <c r="AW15" s="1158"/>
      <c r="AX15" s="1158"/>
      <c r="AY15" s="1158"/>
      <c r="AZ15" s="1158"/>
      <c r="BA15" s="1158"/>
      <c r="BB15" s="1158"/>
      <c r="BC15" s="1144"/>
      <c r="BD15" s="1160" t="s">
        <v>939</v>
      </c>
      <c r="BE15" s="1144"/>
      <c r="BF15" s="1144"/>
      <c r="BG15" s="1144"/>
      <c r="BH15" s="1144"/>
      <c r="BI15" s="1144"/>
      <c r="BJ15" s="1144"/>
      <c r="BK15" s="1144"/>
      <c r="BL15" s="1144"/>
      <c r="BM15" s="1148"/>
      <c r="BN15" s="914"/>
      <c r="BO15" s="1148"/>
      <c r="BP15" s="1148"/>
      <c r="BQ15" s="1148"/>
      <c r="BR15" s="1148"/>
      <c r="BS15" s="1148"/>
      <c r="BT15" s="1148"/>
      <c r="BU15" s="1139"/>
    </row>
    <row r="16" spans="1:73" ht="17.45" customHeight="1">
      <c r="A16" s="916"/>
      <c r="B16" s="916"/>
      <c r="C16" s="916" t="s">
        <v>940</v>
      </c>
      <c r="D16" s="916"/>
      <c r="E16" s="916"/>
      <c r="F16" s="916"/>
      <c r="G16" s="916"/>
      <c r="H16" s="916"/>
      <c r="I16" s="916"/>
      <c r="J16" s="916"/>
      <c r="K16" s="916"/>
      <c r="L16" s="916"/>
      <c r="M16" s="916"/>
      <c r="N16" s="916"/>
      <c r="O16" s="916"/>
      <c r="P16" s="916"/>
      <c r="Q16" s="916"/>
      <c r="R16" s="916"/>
      <c r="S16" s="916"/>
      <c r="T16" s="916"/>
      <c r="U16" s="916"/>
      <c r="V16" s="916"/>
      <c r="W16" s="1150"/>
      <c r="X16" s="1150"/>
      <c r="Y16" s="1150"/>
      <c r="Z16" s="1150"/>
      <c r="AA16" s="1150"/>
      <c r="AB16" s="1150"/>
      <c r="AC16" s="1150"/>
      <c r="AD16" s="1150"/>
      <c r="AE16" s="1150"/>
      <c r="AF16" s="1150"/>
      <c r="AG16" s="1150"/>
      <c r="AH16" s="1150"/>
      <c r="AI16" s="1150"/>
      <c r="AJ16" s="1158"/>
      <c r="AK16" s="1158"/>
      <c r="AL16" s="1158"/>
      <c r="AM16" s="1158"/>
      <c r="AN16" s="1158"/>
      <c r="AO16" s="1158"/>
      <c r="AP16" s="1158"/>
      <c r="AQ16" s="1158"/>
      <c r="AR16" s="1158"/>
      <c r="AS16" s="916"/>
      <c r="AT16" s="1144"/>
      <c r="AU16" s="1165" t="s">
        <v>678</v>
      </c>
      <c r="AV16" s="1158"/>
      <c r="AW16" s="1158"/>
      <c r="AX16" s="1158"/>
      <c r="AY16" s="1158"/>
      <c r="AZ16" s="1158"/>
      <c r="BA16" s="1158"/>
      <c r="BB16" s="1158"/>
      <c r="BC16" s="1154"/>
      <c r="BD16" s="915"/>
      <c r="BE16" s="1144"/>
      <c r="BF16" s="1144"/>
      <c r="BG16" s="1144"/>
      <c r="BH16" s="1144"/>
      <c r="BI16" s="1144"/>
      <c r="BJ16" s="1487" t="s">
        <v>941</v>
      </c>
      <c r="BK16" s="1487"/>
      <c r="BL16" s="1487"/>
      <c r="BM16" s="1148"/>
      <c r="BN16" s="1148"/>
      <c r="BO16" s="1148"/>
      <c r="BP16" s="1148"/>
      <c r="BQ16" s="1148"/>
      <c r="BR16" s="1148"/>
      <c r="BS16" s="1148"/>
      <c r="BT16" s="1148"/>
      <c r="BU16" s="1139"/>
    </row>
    <row r="17" spans="1:73" ht="17.45" customHeight="1">
      <c r="A17" s="916"/>
      <c r="B17" s="916" t="s">
        <v>942</v>
      </c>
      <c r="C17" s="916" t="s">
        <v>943</v>
      </c>
      <c r="D17" s="916"/>
      <c r="E17" s="916"/>
      <c r="F17" s="916"/>
      <c r="G17" s="916"/>
      <c r="H17" s="916"/>
      <c r="I17" s="916"/>
      <c r="J17" s="916"/>
      <c r="K17" s="916"/>
      <c r="L17" s="916"/>
      <c r="M17" s="916"/>
      <c r="N17" s="916"/>
      <c r="O17" s="916"/>
      <c r="P17" s="916"/>
      <c r="Q17" s="916"/>
      <c r="R17" s="916"/>
      <c r="S17" s="916"/>
      <c r="T17" s="916"/>
      <c r="U17" s="916"/>
      <c r="V17" s="916"/>
      <c r="W17" s="1150"/>
      <c r="X17" s="1150"/>
      <c r="Y17" s="1150"/>
      <c r="Z17" s="1150"/>
      <c r="AA17" s="1150"/>
      <c r="AB17" s="1150"/>
      <c r="AC17" s="1150"/>
      <c r="AD17" s="1150"/>
      <c r="AE17" s="1150"/>
      <c r="AF17" s="1150"/>
      <c r="AG17" s="1150"/>
      <c r="AH17" s="1150"/>
      <c r="AI17" s="1150"/>
      <c r="AJ17" s="1158"/>
      <c r="AK17" s="1158"/>
      <c r="AL17" s="1158"/>
      <c r="AM17" s="1158"/>
      <c r="AN17" s="1158"/>
      <c r="AO17" s="1158"/>
      <c r="AP17" s="1158"/>
      <c r="AQ17" s="1158"/>
      <c r="AR17" s="1158"/>
      <c r="AS17" s="916"/>
      <c r="AT17" s="1144"/>
      <c r="AU17" s="1165" t="s">
        <v>677</v>
      </c>
      <c r="AV17" s="1158"/>
      <c r="AW17" s="1158"/>
      <c r="AX17" s="1158"/>
      <c r="AY17" s="1158"/>
      <c r="AZ17" s="1158"/>
      <c r="BA17" s="1158"/>
      <c r="BB17" s="1158"/>
      <c r="BC17" s="1144"/>
      <c r="BD17" s="1166" t="s">
        <v>676</v>
      </c>
      <c r="BE17" s="1144"/>
      <c r="BF17" s="1144"/>
      <c r="BG17" s="1144"/>
      <c r="BH17" s="1144"/>
      <c r="BI17" s="1144"/>
      <c r="BJ17" s="1487"/>
      <c r="BK17" s="1487"/>
      <c r="BL17" s="1487"/>
      <c r="BM17" s="1148"/>
      <c r="BN17" s="1148"/>
      <c r="BO17" s="1148"/>
      <c r="BP17" s="1148"/>
      <c r="BQ17" s="1148"/>
      <c r="BR17" s="1148"/>
      <c r="BS17" s="1148"/>
      <c r="BT17" s="1148"/>
      <c r="BU17" s="1139"/>
    </row>
    <row r="18" spans="1:73" ht="17.45" customHeight="1">
      <c r="A18" s="916"/>
      <c r="B18" s="916" t="s">
        <v>944</v>
      </c>
      <c r="C18" s="916" t="s">
        <v>1176</v>
      </c>
      <c r="D18" s="916"/>
      <c r="E18" s="916"/>
      <c r="F18" s="916"/>
      <c r="G18" s="916"/>
      <c r="H18" s="916"/>
      <c r="I18" s="916"/>
      <c r="J18" s="916"/>
      <c r="K18" s="916"/>
      <c r="L18" s="916"/>
      <c r="M18" s="916"/>
      <c r="N18" s="916"/>
      <c r="O18" s="916"/>
      <c r="P18" s="916"/>
      <c r="Q18" s="916"/>
      <c r="R18" s="916"/>
      <c r="S18" s="916"/>
      <c r="T18" s="916"/>
      <c r="U18" s="916"/>
      <c r="V18" s="916"/>
      <c r="W18" s="1150"/>
      <c r="X18" s="1150"/>
      <c r="Y18" s="1150"/>
      <c r="Z18" s="1150"/>
      <c r="AA18" s="1150"/>
      <c r="AB18" s="1150"/>
      <c r="AC18" s="1150"/>
      <c r="AD18" s="1150"/>
      <c r="AE18" s="1150"/>
      <c r="AF18" s="1150"/>
      <c r="AG18" s="1150"/>
      <c r="AH18" s="1150"/>
      <c r="AI18" s="1150"/>
      <c r="AJ18" s="1158"/>
      <c r="AK18" s="1158"/>
      <c r="AL18" s="1158"/>
      <c r="AM18" s="1158"/>
      <c r="AN18" s="1158"/>
      <c r="AO18" s="1158"/>
      <c r="AP18" s="1158"/>
      <c r="AQ18" s="1158"/>
      <c r="AR18" s="1158"/>
      <c r="AS18" s="916"/>
      <c r="AT18" s="1144"/>
      <c r="AU18" s="1165" t="s">
        <v>675</v>
      </c>
      <c r="AV18" s="1158"/>
      <c r="AW18" s="1158"/>
      <c r="AX18" s="1158"/>
      <c r="AY18" s="1158"/>
      <c r="AZ18" s="1158"/>
      <c r="BA18" s="1158"/>
      <c r="BB18" s="1158"/>
      <c r="BC18" s="1144"/>
      <c r="BD18" s="1144"/>
      <c r="BE18" s="1144"/>
      <c r="BF18" s="1144"/>
      <c r="BG18" s="1144"/>
      <c r="BH18" s="1144"/>
      <c r="BI18" s="1144"/>
      <c r="BJ18" s="1144"/>
      <c r="BK18" s="1144"/>
      <c r="BL18" s="1144"/>
      <c r="BM18" s="1148"/>
      <c r="BN18" s="1148"/>
      <c r="BO18" s="1148"/>
      <c r="BP18" s="1148"/>
      <c r="BQ18" s="1148"/>
      <c r="BR18" s="1148"/>
      <c r="BS18" s="1148"/>
      <c r="BT18" s="1148"/>
      <c r="BU18" s="1139"/>
    </row>
    <row r="19" spans="1:73" ht="17.45" customHeight="1">
      <c r="A19" s="916"/>
      <c r="B19" s="916" t="s">
        <v>1177</v>
      </c>
      <c r="C19" s="916" t="s">
        <v>1178</v>
      </c>
      <c r="D19" s="916"/>
      <c r="E19" s="916"/>
      <c r="F19" s="916"/>
      <c r="G19" s="916"/>
      <c r="H19" s="1163" t="s">
        <v>1174</v>
      </c>
      <c r="I19" s="916"/>
      <c r="J19" s="916"/>
      <c r="K19" s="916"/>
      <c r="L19" s="916"/>
      <c r="M19" s="916"/>
      <c r="N19" s="916"/>
      <c r="O19" s="916"/>
      <c r="P19" s="916"/>
      <c r="Q19" s="916"/>
      <c r="R19" s="916"/>
      <c r="S19" s="916"/>
      <c r="T19" s="916"/>
      <c r="U19" s="916"/>
      <c r="V19" s="916"/>
      <c r="W19" s="1150"/>
      <c r="X19" s="1150"/>
      <c r="Y19" s="1150"/>
      <c r="Z19" s="1150"/>
      <c r="AA19" s="1150"/>
      <c r="AB19" s="1150"/>
      <c r="AC19" s="1150"/>
      <c r="AD19" s="1150"/>
      <c r="AE19" s="1150"/>
      <c r="AF19" s="1150"/>
      <c r="AG19" s="1150"/>
      <c r="AH19" s="1150"/>
      <c r="AI19" s="1150"/>
      <c r="AJ19" s="1158"/>
      <c r="AK19" s="1158"/>
      <c r="AL19" s="1158"/>
      <c r="AM19" s="1158"/>
      <c r="AN19" s="1158"/>
      <c r="AO19" s="1158"/>
      <c r="AP19" s="1158"/>
      <c r="AQ19" s="1158"/>
      <c r="AR19" s="1158"/>
      <c r="AS19" s="916"/>
      <c r="AT19" s="1144"/>
      <c r="AU19" s="1165" t="s">
        <v>674</v>
      </c>
      <c r="AV19" s="1158"/>
      <c r="AW19" s="1158"/>
      <c r="AX19" s="1158"/>
      <c r="AY19" s="1158"/>
      <c r="AZ19" s="1158"/>
      <c r="BA19" s="1158"/>
      <c r="BB19" s="1158"/>
      <c r="BC19" s="1144"/>
      <c r="BD19" s="1166"/>
      <c r="BE19" s="1167"/>
      <c r="BF19" s="1167"/>
      <c r="BG19" s="1167"/>
      <c r="BH19" s="1167"/>
      <c r="BI19" s="1167"/>
      <c r="BJ19" s="1167"/>
      <c r="BK19" s="1167"/>
      <c r="BL19" s="1144"/>
      <c r="BM19" s="1168" t="s">
        <v>673</v>
      </c>
      <c r="BN19" s="1169"/>
      <c r="BO19" s="1169"/>
      <c r="BP19" s="1169"/>
      <c r="BQ19" s="1169"/>
      <c r="BR19" s="1169"/>
      <c r="BS19" s="1169"/>
      <c r="BT19" s="1169"/>
      <c r="BU19" s="1139"/>
    </row>
    <row r="20" spans="1:73" ht="17.45" customHeight="1">
      <c r="A20" s="1083"/>
      <c r="B20" s="1170" t="s">
        <v>1179</v>
      </c>
      <c r="C20" s="916" t="s">
        <v>1180</v>
      </c>
      <c r="D20" s="916"/>
      <c r="E20" s="916"/>
      <c r="F20" s="916"/>
      <c r="G20" s="916"/>
      <c r="H20" s="1163" t="s">
        <v>1174</v>
      </c>
      <c r="I20" s="916"/>
      <c r="J20" s="916"/>
      <c r="K20" s="916"/>
      <c r="L20" s="916"/>
      <c r="M20" s="916"/>
      <c r="N20" s="916"/>
      <c r="O20" s="916"/>
      <c r="P20" s="916"/>
      <c r="Q20" s="916"/>
      <c r="R20" s="916"/>
      <c r="S20" s="916"/>
      <c r="T20" s="916"/>
      <c r="U20" s="916"/>
      <c r="V20" s="916"/>
      <c r="W20" s="1150"/>
      <c r="X20" s="1150"/>
      <c r="Y20" s="1150"/>
      <c r="Z20" s="1150"/>
      <c r="AA20" s="1150"/>
      <c r="AB20" s="1150"/>
      <c r="AC20" s="1150"/>
      <c r="AD20" s="1150"/>
      <c r="AE20" s="1150"/>
      <c r="AF20" s="1150"/>
      <c r="AG20" s="1150"/>
      <c r="AH20" s="1150"/>
      <c r="AI20" s="1150"/>
      <c r="AJ20" s="1158"/>
      <c r="AK20" s="1158"/>
      <c r="AL20" s="1158"/>
      <c r="AM20" s="1158"/>
      <c r="AN20" s="1158"/>
      <c r="AO20" s="1158"/>
      <c r="AP20" s="1158"/>
      <c r="AQ20" s="1158"/>
      <c r="AR20" s="1158"/>
      <c r="AS20" s="916"/>
      <c r="AT20" s="1144"/>
      <c r="AU20" s="1158"/>
      <c r="AV20" s="1158"/>
      <c r="AW20" s="1158"/>
      <c r="AX20" s="1158"/>
      <c r="AY20" s="1158"/>
      <c r="AZ20" s="1158"/>
      <c r="BA20" s="1158"/>
      <c r="BB20" s="1158"/>
      <c r="BC20" s="1144"/>
      <c r="BD20" s="1144"/>
      <c r="BE20" s="1144"/>
      <c r="BF20" s="1144"/>
      <c r="BG20" s="1144"/>
      <c r="BH20" s="1144"/>
      <c r="BI20" s="1144"/>
      <c r="BJ20" s="1144"/>
      <c r="BK20" s="1144"/>
      <c r="BL20" s="1144"/>
      <c r="BM20" s="1169" t="s">
        <v>672</v>
      </c>
      <c r="BN20" s="1148"/>
      <c r="BO20" s="1148"/>
      <c r="BP20" s="1148"/>
      <c r="BQ20" s="1148"/>
      <c r="BR20" s="1148"/>
      <c r="BS20" s="1148"/>
      <c r="BT20" s="1148"/>
      <c r="BU20" s="1139"/>
    </row>
    <row r="21" spans="1:73" ht="17.45" customHeight="1">
      <c r="A21" s="1083"/>
      <c r="B21" s="1170"/>
      <c r="C21" s="916" t="s">
        <v>1181</v>
      </c>
      <c r="D21" s="916"/>
      <c r="E21" s="916"/>
      <c r="F21" s="916"/>
      <c r="G21" s="916"/>
      <c r="H21" s="916"/>
      <c r="I21" s="916"/>
      <c r="J21" s="916"/>
      <c r="K21" s="916"/>
      <c r="L21" s="916"/>
      <c r="M21" s="916"/>
      <c r="N21" s="916"/>
      <c r="O21" s="916"/>
      <c r="P21" s="916"/>
      <c r="Q21" s="916"/>
      <c r="R21" s="916"/>
      <c r="S21" s="916"/>
      <c r="T21" s="916"/>
      <c r="U21" s="916"/>
      <c r="V21" s="916"/>
      <c r="W21" s="1150"/>
      <c r="X21" s="1150"/>
      <c r="Y21" s="1150"/>
      <c r="Z21" s="1150"/>
      <c r="AA21" s="1150"/>
      <c r="AB21" s="1150"/>
      <c r="AC21" s="1150"/>
      <c r="AD21" s="1150"/>
      <c r="AE21" s="1150"/>
      <c r="AF21" s="1150"/>
      <c r="AG21" s="1150"/>
      <c r="AH21" s="1150"/>
      <c r="AI21" s="1150"/>
      <c r="AJ21" s="1158"/>
      <c r="AK21" s="1158"/>
      <c r="AL21" s="1158"/>
      <c r="AM21" s="1158"/>
      <c r="AN21" s="1158"/>
      <c r="AO21" s="1158"/>
      <c r="AP21" s="1158"/>
      <c r="AQ21" s="1158"/>
      <c r="AR21" s="1158"/>
      <c r="AS21" s="916"/>
      <c r="AT21" s="1144"/>
      <c r="AU21" s="1171"/>
      <c r="AV21" s="1158"/>
      <c r="AW21" s="1158"/>
      <c r="AX21" s="1158"/>
      <c r="AY21" s="1158"/>
      <c r="AZ21" s="1158"/>
      <c r="BA21" s="1158"/>
      <c r="BB21" s="1158"/>
      <c r="BC21" s="1144"/>
      <c r="BD21" s="1144"/>
      <c r="BE21" s="1144"/>
      <c r="BF21" s="1144"/>
      <c r="BG21" s="1144"/>
      <c r="BH21" s="1144"/>
      <c r="BI21" s="1144"/>
      <c r="BJ21" s="1144"/>
      <c r="BK21" s="1144"/>
      <c r="BL21" s="1144"/>
      <c r="BM21" s="1169" t="s">
        <v>671</v>
      </c>
      <c r="BN21" s="1148"/>
      <c r="BO21" s="1148"/>
      <c r="BP21" s="1148"/>
      <c r="BQ21" s="1148"/>
      <c r="BR21" s="1148"/>
      <c r="BS21" s="1148"/>
      <c r="BT21" s="1148"/>
      <c r="BU21" s="1139"/>
    </row>
    <row r="22" spans="1:73" ht="17.45" customHeight="1">
      <c r="A22" s="1083"/>
      <c r="B22" s="916" t="s">
        <v>1182</v>
      </c>
      <c r="C22" s="916" t="s">
        <v>1183</v>
      </c>
      <c r="D22" s="916"/>
      <c r="E22" s="916"/>
      <c r="F22" s="916"/>
      <c r="G22" s="916"/>
      <c r="H22" s="916"/>
      <c r="I22" s="916"/>
      <c r="J22" s="916"/>
      <c r="K22" s="916"/>
      <c r="L22" s="916"/>
      <c r="M22" s="916"/>
      <c r="N22" s="916"/>
      <c r="O22" s="916"/>
      <c r="P22" s="916"/>
      <c r="Q22" s="916"/>
      <c r="R22" s="916"/>
      <c r="S22" s="916"/>
      <c r="T22" s="916"/>
      <c r="U22" s="916"/>
      <c r="V22" s="916"/>
      <c r="W22" s="1150"/>
      <c r="X22" s="1150"/>
      <c r="Y22" s="1150"/>
      <c r="Z22" s="1150"/>
      <c r="AA22" s="1150"/>
      <c r="AB22" s="1150"/>
      <c r="AC22" s="1150"/>
      <c r="AD22" s="1150"/>
      <c r="AE22" s="1150"/>
      <c r="AF22" s="1150"/>
      <c r="AG22" s="1150"/>
      <c r="AH22" s="1150"/>
      <c r="AI22" s="1150"/>
      <c r="AJ22" s="1158"/>
      <c r="AK22" s="1158"/>
      <c r="AL22" s="1158"/>
      <c r="AM22" s="1158"/>
      <c r="AN22" s="1158"/>
      <c r="AO22" s="1158"/>
      <c r="AP22" s="1158"/>
      <c r="AQ22" s="1158"/>
      <c r="AR22" s="1158"/>
      <c r="AS22" s="916"/>
      <c r="AT22" s="1144"/>
      <c r="AU22" s="1171" t="s">
        <v>670</v>
      </c>
      <c r="AV22" s="1158"/>
      <c r="AW22" s="1158"/>
      <c r="AX22" s="1158"/>
      <c r="AY22" s="1158"/>
      <c r="AZ22" s="1158"/>
      <c r="BA22" s="1158"/>
      <c r="BB22" s="1158"/>
      <c r="BC22" s="1144"/>
      <c r="BD22" s="1144"/>
      <c r="BE22" s="1144"/>
      <c r="BF22" s="1144"/>
      <c r="BG22" s="1144"/>
      <c r="BH22" s="1144"/>
      <c r="BI22" s="1144"/>
      <c r="BJ22" s="1144"/>
      <c r="BK22" s="1144"/>
      <c r="BL22" s="1144"/>
      <c r="BM22" s="1148"/>
      <c r="BN22" s="1148"/>
      <c r="BO22" s="1148"/>
      <c r="BP22" s="1148"/>
      <c r="BQ22" s="1148"/>
      <c r="BR22" s="1148"/>
      <c r="BS22" s="1148"/>
      <c r="BT22" s="1148"/>
      <c r="BU22" s="1139"/>
    </row>
    <row r="23" spans="1:73" ht="17.45" customHeight="1">
      <c r="A23" s="1083"/>
      <c r="B23" s="916"/>
      <c r="C23" s="916"/>
      <c r="D23" s="916"/>
      <c r="E23" s="916"/>
      <c r="F23" s="916"/>
      <c r="G23" s="916"/>
      <c r="H23" s="916"/>
      <c r="I23" s="916"/>
      <c r="J23" s="916"/>
      <c r="K23" s="916"/>
      <c r="L23" s="916"/>
      <c r="M23" s="916"/>
      <c r="N23" s="916"/>
      <c r="O23" s="916"/>
      <c r="P23" s="916"/>
      <c r="Q23" s="916"/>
      <c r="R23" s="916"/>
      <c r="S23" s="916"/>
      <c r="T23" s="916"/>
      <c r="U23" s="916"/>
      <c r="V23" s="916"/>
      <c r="W23" s="1150"/>
      <c r="X23" s="1150"/>
      <c r="Y23" s="1150"/>
      <c r="Z23" s="1150"/>
      <c r="AA23" s="1150"/>
      <c r="AB23" s="1150"/>
      <c r="AC23" s="1150"/>
      <c r="AD23" s="1150"/>
      <c r="AE23" s="1150"/>
      <c r="AF23" s="1150"/>
      <c r="AG23" s="1150"/>
      <c r="AH23" s="1150"/>
      <c r="AI23" s="1150"/>
      <c r="AJ23" s="1158"/>
      <c r="AK23" s="1158"/>
      <c r="AL23" s="1158"/>
      <c r="AM23" s="1158"/>
      <c r="AN23" s="1158"/>
      <c r="AO23" s="1158"/>
      <c r="AP23" s="1158"/>
      <c r="AQ23" s="1158"/>
      <c r="AR23" s="1158"/>
      <c r="AS23" s="916"/>
      <c r="AT23" s="1144"/>
      <c r="AU23" s="1158" t="s">
        <v>703</v>
      </c>
      <c r="AV23" s="1158"/>
      <c r="AW23" s="1158"/>
      <c r="AX23" s="1158"/>
      <c r="AY23" s="1158"/>
      <c r="AZ23" s="1158"/>
      <c r="BA23" s="1158"/>
      <c r="BB23" s="1158"/>
      <c r="BC23" s="1144"/>
      <c r="BD23" s="1144"/>
      <c r="BE23" s="1144"/>
      <c r="BF23" s="1144"/>
      <c r="BG23" s="1144"/>
      <c r="BH23" s="1144"/>
      <c r="BI23" s="1144"/>
      <c r="BJ23" s="1144"/>
      <c r="BK23" s="1144"/>
      <c r="BL23" s="1144"/>
      <c r="BM23" s="1148" t="s">
        <v>59</v>
      </c>
      <c r="BN23" s="1148" t="s">
        <v>669</v>
      </c>
      <c r="BO23" s="1148"/>
      <c r="BP23" s="1148"/>
      <c r="BQ23" s="1148"/>
      <c r="BR23" s="1148" t="s">
        <v>668</v>
      </c>
      <c r="BS23" s="1148"/>
      <c r="BT23" s="1148"/>
      <c r="BU23" s="1139"/>
    </row>
    <row r="24" spans="1:73" ht="17.45" customHeight="1">
      <c r="A24" s="1083" t="s">
        <v>945</v>
      </c>
      <c r="B24" s="916"/>
      <c r="C24" s="916"/>
      <c r="D24" s="916"/>
      <c r="E24" s="916"/>
      <c r="F24" s="916"/>
      <c r="G24" s="916"/>
      <c r="H24" s="916"/>
      <c r="I24" s="916"/>
      <c r="J24" s="916"/>
      <c r="K24" s="916"/>
      <c r="L24" s="916"/>
      <c r="M24" s="916"/>
      <c r="N24" s="916"/>
      <c r="O24" s="916"/>
      <c r="P24" s="916"/>
      <c r="Q24" s="916"/>
      <c r="R24" s="916"/>
      <c r="S24" s="916"/>
      <c r="T24" s="916"/>
      <c r="U24" s="916"/>
      <c r="V24" s="916"/>
      <c r="W24" s="1150"/>
      <c r="X24" s="1150"/>
      <c r="Y24" s="1150"/>
      <c r="Z24" s="1150"/>
      <c r="AA24" s="1150"/>
      <c r="AB24" s="1150"/>
      <c r="AC24" s="1150"/>
      <c r="AD24" s="1150"/>
      <c r="AE24" s="1150"/>
      <c r="AF24" s="1150"/>
      <c r="AG24" s="1150"/>
      <c r="AH24" s="1150"/>
      <c r="AI24" s="1150"/>
      <c r="AJ24" s="1158"/>
      <c r="AK24" s="1158"/>
      <c r="AL24" s="1158"/>
      <c r="AM24" s="1158"/>
      <c r="AN24" s="1158"/>
      <c r="AO24" s="1158"/>
      <c r="AP24" s="1158"/>
      <c r="AQ24" s="1158"/>
      <c r="AR24" s="1158"/>
      <c r="AS24" s="916"/>
      <c r="AT24" s="1144"/>
      <c r="AU24" s="1171"/>
      <c r="AV24" s="1158"/>
      <c r="AW24" s="1158"/>
      <c r="AX24" s="1158"/>
      <c r="AY24" s="1158"/>
      <c r="AZ24" s="1158"/>
      <c r="BA24" s="1158"/>
      <c r="BB24" s="1158"/>
      <c r="BC24" s="1144"/>
      <c r="BD24" s="1144"/>
      <c r="BE24" s="1144"/>
      <c r="BF24" s="1144"/>
      <c r="BG24" s="1144"/>
      <c r="BH24" s="1144"/>
      <c r="BI24" s="1144"/>
      <c r="BJ24" s="1144"/>
      <c r="BK24" s="1144"/>
      <c r="BL24" s="1144"/>
      <c r="BM24" s="1148"/>
      <c r="BN24" s="1148" t="s">
        <v>667</v>
      </c>
      <c r="BO24" s="1148" t="s">
        <v>666</v>
      </c>
      <c r="BP24" s="1148" t="s">
        <v>665</v>
      </c>
      <c r="BQ24" s="1148" t="s">
        <v>664</v>
      </c>
      <c r="BR24" s="1172" t="s">
        <v>664</v>
      </c>
      <c r="BS24" s="1148"/>
      <c r="BT24" s="1148"/>
      <c r="BU24" s="1139"/>
    </row>
    <row r="25" spans="1:73" ht="17.45" customHeight="1" thickBot="1">
      <c r="A25" s="916"/>
      <c r="B25" s="916"/>
      <c r="C25" s="916"/>
      <c r="D25" s="916"/>
      <c r="E25" s="916"/>
      <c r="F25" s="916"/>
      <c r="G25" s="916"/>
      <c r="H25" s="916"/>
      <c r="I25" s="916"/>
      <c r="J25" s="916"/>
      <c r="K25" s="916"/>
      <c r="L25" s="916"/>
      <c r="M25" s="916"/>
      <c r="N25" s="916"/>
      <c r="O25" s="916"/>
      <c r="P25" s="916"/>
      <c r="Q25" s="916"/>
      <c r="R25" s="916"/>
      <c r="S25" s="916"/>
      <c r="T25" s="916"/>
      <c r="U25" s="916"/>
      <c r="V25" s="916"/>
      <c r="W25" s="1150"/>
      <c r="X25" s="1150"/>
      <c r="Y25" s="1150"/>
      <c r="Z25" s="1150"/>
      <c r="AA25" s="1150"/>
      <c r="AB25" s="1150"/>
      <c r="AC25" s="1150"/>
      <c r="AD25" s="1150"/>
      <c r="AE25" s="1150"/>
      <c r="AF25" s="1150"/>
      <c r="AG25" s="1150"/>
      <c r="AH25" s="1150"/>
      <c r="AI25" s="1150"/>
      <c r="AJ25" s="1158"/>
      <c r="AK25" s="1158"/>
      <c r="AL25" s="1158"/>
      <c r="AM25" s="1158"/>
      <c r="AN25" s="1158"/>
      <c r="AO25" s="1158"/>
      <c r="AP25" s="1158"/>
      <c r="AQ25" s="1158"/>
      <c r="AR25" s="1158"/>
      <c r="AS25" s="916"/>
      <c r="AT25" s="1144"/>
      <c r="AU25" s="1158" t="s">
        <v>576</v>
      </c>
      <c r="AV25" s="1158" t="s">
        <v>663</v>
      </c>
      <c r="AW25" s="1158"/>
      <c r="AX25" s="1158"/>
      <c r="AY25" s="1173">
        <v>9.23</v>
      </c>
      <c r="AZ25" s="1174" t="s">
        <v>564</v>
      </c>
      <c r="BA25" s="1158"/>
      <c r="BB25" s="1158"/>
      <c r="BC25" s="1144"/>
      <c r="BD25" s="1144"/>
      <c r="BE25" s="1144"/>
      <c r="BF25" s="1144"/>
      <c r="BG25" s="1144"/>
      <c r="BH25" s="1144"/>
      <c r="BI25" s="1144"/>
      <c r="BJ25" s="1144"/>
      <c r="BK25" s="1144"/>
      <c r="BL25" s="1144"/>
      <c r="BM25" s="1148"/>
      <c r="BN25" s="1175"/>
      <c r="BO25" s="1175"/>
      <c r="BP25" s="1175"/>
      <c r="BQ25" s="1148"/>
      <c r="BR25" s="1148"/>
      <c r="BS25" s="1148"/>
      <c r="BT25" s="1148"/>
      <c r="BU25" s="1139"/>
    </row>
    <row r="26" spans="1:73" ht="17.45" customHeight="1" thickBot="1">
      <c r="A26" s="916"/>
      <c r="B26" s="916" t="s">
        <v>946</v>
      </c>
      <c r="C26" s="916" t="s">
        <v>947</v>
      </c>
      <c r="D26" s="916"/>
      <c r="E26" s="916"/>
      <c r="F26" s="916"/>
      <c r="G26" s="916"/>
      <c r="H26" s="916"/>
      <c r="I26" s="916"/>
      <c r="J26" s="916"/>
      <c r="K26" s="916"/>
      <c r="L26" s="916"/>
      <c r="M26" s="916"/>
      <c r="N26" s="916"/>
      <c r="O26" s="916"/>
      <c r="P26" s="916"/>
      <c r="Q26" s="916"/>
      <c r="R26" s="916"/>
      <c r="S26" s="916"/>
      <c r="T26" s="916"/>
      <c r="U26" s="916"/>
      <c r="V26" s="916"/>
      <c r="W26" s="1150"/>
      <c r="X26" s="1150"/>
      <c r="Y26" s="1150"/>
      <c r="Z26" s="1150"/>
      <c r="AA26" s="1150"/>
      <c r="AB26" s="1150"/>
      <c r="AC26" s="1150"/>
      <c r="AD26" s="1150"/>
      <c r="AE26" s="1150"/>
      <c r="AF26" s="1150"/>
      <c r="AG26" s="1150"/>
      <c r="AH26" s="1150"/>
      <c r="AI26" s="1150"/>
      <c r="AJ26" s="1158"/>
      <c r="AK26" s="1158"/>
      <c r="AL26" s="1158"/>
      <c r="AM26" s="1158"/>
      <c r="AN26" s="1158"/>
      <c r="AO26" s="1158"/>
      <c r="AP26" s="1158"/>
      <c r="AQ26" s="1158"/>
      <c r="AR26" s="1158"/>
      <c r="AS26" s="916"/>
      <c r="AT26" s="1144"/>
      <c r="AU26" s="1158" t="s">
        <v>573</v>
      </c>
      <c r="AV26" s="1158" t="s">
        <v>662</v>
      </c>
      <c r="AW26" s="1158"/>
      <c r="AX26" s="1158"/>
      <c r="AY26" s="1173"/>
      <c r="AZ26" s="1174"/>
      <c r="BA26" s="1158"/>
      <c r="BB26" s="1158"/>
      <c r="BC26" s="1144"/>
      <c r="BD26" s="1144"/>
      <c r="BE26" s="1144"/>
      <c r="BF26" s="1144"/>
      <c r="BG26" s="1144"/>
      <c r="BH26" s="1144"/>
      <c r="BI26" s="1144"/>
      <c r="BJ26" s="1144"/>
      <c r="BK26" s="1144"/>
      <c r="BL26" s="1144"/>
      <c r="BM26" s="1176" t="s">
        <v>661</v>
      </c>
      <c r="BN26" s="1177">
        <v>19.5</v>
      </c>
      <c r="BO26" s="1177">
        <v>18.5</v>
      </c>
      <c r="BP26" s="1177">
        <v>16.5</v>
      </c>
      <c r="BQ26" s="1177">
        <v>13.5</v>
      </c>
      <c r="BR26" s="1178">
        <v>13.5</v>
      </c>
      <c r="BS26" s="1148"/>
      <c r="BT26" s="1148"/>
      <c r="BU26" s="1139"/>
    </row>
    <row r="27" spans="1:73" ht="17.45" customHeight="1">
      <c r="A27" s="916"/>
      <c r="B27" s="916" t="s">
        <v>948</v>
      </c>
      <c r="C27" s="916" t="s">
        <v>949</v>
      </c>
      <c r="D27" s="916"/>
      <c r="E27" s="916"/>
      <c r="F27" s="916"/>
      <c r="G27" s="916"/>
      <c r="H27" s="916"/>
      <c r="I27" s="916"/>
      <c r="J27" s="916"/>
      <c r="K27" s="916"/>
      <c r="L27" s="916"/>
      <c r="M27" s="916"/>
      <c r="N27" s="916"/>
      <c r="O27" s="916"/>
      <c r="P27" s="916"/>
      <c r="Q27" s="916"/>
      <c r="R27" s="916"/>
      <c r="S27" s="916"/>
      <c r="T27" s="916"/>
      <c r="U27" s="916"/>
      <c r="V27" s="916"/>
      <c r="W27" s="1150"/>
      <c r="X27" s="1150"/>
      <c r="Y27" s="1150"/>
      <c r="Z27" s="1150"/>
      <c r="AA27" s="1150"/>
      <c r="AB27" s="1150"/>
      <c r="AC27" s="1150"/>
      <c r="AD27" s="1150"/>
      <c r="AE27" s="1150"/>
      <c r="AF27" s="1150"/>
      <c r="AG27" s="1150"/>
      <c r="AH27" s="1150"/>
      <c r="AI27" s="1150"/>
      <c r="AJ27" s="1158"/>
      <c r="AK27" s="1158"/>
      <c r="AL27" s="1158"/>
      <c r="AM27" s="1158"/>
      <c r="AN27" s="1158"/>
      <c r="AO27" s="1158"/>
      <c r="AP27" s="1158"/>
      <c r="AQ27" s="1158"/>
      <c r="AR27" s="1158"/>
      <c r="AS27" s="916"/>
      <c r="AT27" s="1144"/>
      <c r="AU27" s="1158"/>
      <c r="AV27" s="1158"/>
      <c r="AW27" s="1158" t="s">
        <v>571</v>
      </c>
      <c r="AX27" s="1158"/>
      <c r="AY27" s="1173">
        <v>13.15</v>
      </c>
      <c r="AZ27" s="1174" t="s">
        <v>564</v>
      </c>
      <c r="BA27" s="1158"/>
      <c r="BB27" s="1158"/>
      <c r="BC27" s="1144"/>
      <c r="BD27" s="1144"/>
      <c r="BE27" s="1144"/>
      <c r="BF27" s="1144"/>
      <c r="BG27" s="1144"/>
      <c r="BH27" s="1144"/>
      <c r="BI27" s="1144"/>
      <c r="BJ27" s="1144"/>
      <c r="BK27" s="1144"/>
      <c r="BL27" s="1144"/>
      <c r="BM27" s="1179" t="s">
        <v>570</v>
      </c>
      <c r="BN27" s="1180"/>
      <c r="BO27" s="1181"/>
      <c r="BP27" s="1182">
        <v>0.01</v>
      </c>
      <c r="BQ27" s="1181"/>
      <c r="BR27" s="1183"/>
      <c r="BS27" s="1148"/>
      <c r="BT27" s="1148"/>
      <c r="BU27" s="1139"/>
    </row>
    <row r="28" spans="1:73" ht="17.45" customHeight="1">
      <c r="A28" s="916"/>
      <c r="B28" s="916"/>
      <c r="C28" s="916" t="s">
        <v>950</v>
      </c>
      <c r="D28" s="916"/>
      <c r="E28" s="916"/>
      <c r="F28" s="916"/>
      <c r="G28" s="916"/>
      <c r="H28" s="916"/>
      <c r="I28" s="916"/>
      <c r="J28" s="916"/>
      <c r="K28" s="916"/>
      <c r="L28" s="916"/>
      <c r="M28" s="916"/>
      <c r="N28" s="916"/>
      <c r="O28" s="916"/>
      <c r="P28" s="916"/>
      <c r="Q28" s="916"/>
      <c r="R28" s="916"/>
      <c r="S28" s="916"/>
      <c r="T28" s="916"/>
      <c r="U28" s="916"/>
      <c r="V28" s="916"/>
      <c r="W28" s="1150"/>
      <c r="X28" s="1150"/>
      <c r="Y28" s="1150"/>
      <c r="Z28" s="1150"/>
      <c r="AA28" s="1150"/>
      <c r="AB28" s="1150"/>
      <c r="AC28" s="1150"/>
      <c r="AD28" s="1150"/>
      <c r="AE28" s="1150"/>
      <c r="AF28" s="1150"/>
      <c r="AG28" s="1150"/>
      <c r="AH28" s="1150"/>
      <c r="AI28" s="1150"/>
      <c r="AJ28" s="1158"/>
      <c r="AK28" s="1158"/>
      <c r="AL28" s="1158"/>
      <c r="AM28" s="1158"/>
      <c r="AN28" s="1158"/>
      <c r="AO28" s="1158"/>
      <c r="AP28" s="1158"/>
      <c r="AQ28" s="1158"/>
      <c r="AR28" s="1158"/>
      <c r="AS28" s="916"/>
      <c r="AT28" s="1144"/>
      <c r="AU28" s="1158"/>
      <c r="AV28" s="1158"/>
      <c r="AW28" s="1158" t="s">
        <v>569</v>
      </c>
      <c r="AX28" s="1158"/>
      <c r="AY28" s="1173">
        <v>12.8</v>
      </c>
      <c r="AZ28" s="1174" t="s">
        <v>564</v>
      </c>
      <c r="BA28" s="1158"/>
      <c r="BB28" s="1158"/>
      <c r="BC28" s="1144"/>
      <c r="BD28" s="1144"/>
      <c r="BE28" s="1144"/>
      <c r="BF28" s="1144"/>
      <c r="BG28" s="1144"/>
      <c r="BH28" s="1144"/>
      <c r="BI28" s="1144"/>
      <c r="BJ28" s="1144"/>
      <c r="BK28" s="1144"/>
      <c r="BL28" s="1144"/>
      <c r="BM28" s="1184" t="s">
        <v>660</v>
      </c>
      <c r="BN28" s="1185">
        <v>19.305</v>
      </c>
      <c r="BO28" s="1185">
        <v>18.315000000000001</v>
      </c>
      <c r="BP28" s="1185">
        <v>16.335000000000001</v>
      </c>
      <c r="BQ28" s="1185">
        <v>13.365</v>
      </c>
      <c r="BR28" s="1186">
        <v>13.365</v>
      </c>
      <c r="BS28" s="1148"/>
      <c r="BT28" s="1148"/>
      <c r="BU28" s="1139"/>
    </row>
    <row r="29" spans="1:73" ht="17.45" customHeight="1" thickBot="1">
      <c r="A29" s="916"/>
      <c r="B29" s="916"/>
      <c r="C29" s="916" t="s">
        <v>951</v>
      </c>
      <c r="D29" s="916"/>
      <c r="E29" s="916"/>
      <c r="F29" s="916"/>
      <c r="G29" s="916"/>
      <c r="H29" s="916"/>
      <c r="I29" s="916"/>
      <c r="J29" s="916"/>
      <c r="K29" s="916"/>
      <c r="L29" s="916"/>
      <c r="M29" s="916"/>
      <c r="N29" s="916"/>
      <c r="O29" s="916"/>
      <c r="P29" s="916"/>
      <c r="Q29" s="916"/>
      <c r="R29" s="916"/>
      <c r="S29" s="916"/>
      <c r="T29" s="916"/>
      <c r="U29" s="916"/>
      <c r="V29" s="916"/>
      <c r="W29" s="1150"/>
      <c r="X29" s="1150"/>
      <c r="Y29" s="1150"/>
      <c r="Z29" s="1150"/>
      <c r="AA29" s="1150"/>
      <c r="AB29" s="1150"/>
      <c r="AC29" s="1150"/>
      <c r="AD29" s="1150"/>
      <c r="AE29" s="1150"/>
      <c r="AF29" s="1150"/>
      <c r="AG29" s="1150"/>
      <c r="AH29" s="1150"/>
      <c r="AI29" s="1150"/>
      <c r="AJ29" s="1158"/>
      <c r="AK29" s="1158"/>
      <c r="AL29" s="1158"/>
      <c r="AM29" s="1158"/>
      <c r="AN29" s="1158"/>
      <c r="AO29" s="1158"/>
      <c r="AP29" s="1158"/>
      <c r="AQ29" s="1158"/>
      <c r="AR29" s="1158"/>
      <c r="AS29" s="916"/>
      <c r="AT29" s="1144"/>
      <c r="AU29" s="1158"/>
      <c r="AV29" s="1158"/>
      <c r="AW29" s="1158" t="s">
        <v>567</v>
      </c>
      <c r="AX29" s="1158"/>
      <c r="AY29" s="1173">
        <v>11.49</v>
      </c>
      <c r="AZ29" s="1174" t="s">
        <v>564</v>
      </c>
      <c r="BA29" s="1158"/>
      <c r="BB29" s="1158"/>
      <c r="BC29" s="1144"/>
      <c r="BD29" s="1144"/>
      <c r="BE29" s="1144"/>
      <c r="BF29" s="1144"/>
      <c r="BG29" s="1144"/>
      <c r="BH29" s="1144"/>
      <c r="BI29" s="1144"/>
      <c r="BJ29" s="1144"/>
      <c r="BK29" s="1144"/>
      <c r="BL29" s="1144"/>
      <c r="BM29" s="1187" t="s">
        <v>566</v>
      </c>
      <c r="BN29" s="1188">
        <v>19.305</v>
      </c>
      <c r="BO29" s="1188">
        <v>18.315000000000001</v>
      </c>
      <c r="BP29" s="1188">
        <v>16.335000000000001</v>
      </c>
      <c r="BQ29" s="1188">
        <v>13.365</v>
      </c>
      <c r="BR29" s="1189">
        <v>13.365</v>
      </c>
      <c r="BS29" s="1148"/>
      <c r="BT29" s="1148"/>
      <c r="BU29" s="1139"/>
    </row>
    <row r="30" spans="1:73" ht="17.45" customHeight="1">
      <c r="A30" s="916"/>
      <c r="B30" s="916" t="s">
        <v>952</v>
      </c>
      <c r="C30" s="916" t="s">
        <v>953</v>
      </c>
      <c r="D30" s="916"/>
      <c r="E30" s="916"/>
      <c r="F30" s="916"/>
      <c r="G30" s="916"/>
      <c r="H30" s="916"/>
      <c r="I30" s="916"/>
      <c r="J30" s="916"/>
      <c r="K30" s="916"/>
      <c r="L30" s="916"/>
      <c r="M30" s="916"/>
      <c r="N30" s="916"/>
      <c r="O30" s="916"/>
      <c r="P30" s="916"/>
      <c r="Q30" s="916"/>
      <c r="R30" s="916"/>
      <c r="S30" s="916"/>
      <c r="T30" s="916"/>
      <c r="U30" s="916"/>
      <c r="V30" s="916"/>
      <c r="W30" s="1150"/>
      <c r="X30" s="1150"/>
      <c r="Y30" s="1150"/>
      <c r="Z30" s="1150"/>
      <c r="AA30" s="1150"/>
      <c r="AB30" s="1150"/>
      <c r="AC30" s="1150"/>
      <c r="AD30" s="1150"/>
      <c r="AE30" s="1150"/>
      <c r="AF30" s="1150"/>
      <c r="AG30" s="1150"/>
      <c r="AH30" s="1150"/>
      <c r="AI30" s="1150"/>
      <c r="AJ30" s="1158"/>
      <c r="AK30" s="1158"/>
      <c r="AL30" s="1158"/>
      <c r="AM30" s="1158"/>
      <c r="AN30" s="1158"/>
      <c r="AO30" s="1158"/>
      <c r="AP30" s="1158"/>
      <c r="AQ30" s="1158"/>
      <c r="AR30" s="1158"/>
      <c r="AS30" s="916"/>
      <c r="AT30" s="1144"/>
      <c r="AU30" s="1158"/>
      <c r="AV30" s="1158"/>
      <c r="AW30" s="1158" t="s">
        <v>565</v>
      </c>
      <c r="AX30" s="1158"/>
      <c r="AY30" s="1173">
        <v>9.23</v>
      </c>
      <c r="AZ30" s="1174" t="s">
        <v>564</v>
      </c>
      <c r="BA30" s="1158"/>
      <c r="BB30" s="1158"/>
      <c r="BC30" s="1144"/>
      <c r="BD30" s="1144"/>
      <c r="BE30" s="1144"/>
      <c r="BF30" s="1144"/>
      <c r="BG30" s="1144"/>
      <c r="BH30" s="1144"/>
      <c r="BI30" s="1144"/>
      <c r="BJ30" s="1144"/>
      <c r="BK30" s="1144"/>
      <c r="BL30" s="1144"/>
      <c r="BM30" s="1179" t="s">
        <v>570</v>
      </c>
      <c r="BN30" s="1180"/>
      <c r="BO30" s="1181"/>
      <c r="BP30" s="1182">
        <v>0.01</v>
      </c>
      <c r="BQ30" s="1181"/>
      <c r="BR30" s="1183"/>
      <c r="BS30" s="1148"/>
      <c r="BT30" s="1148"/>
      <c r="BU30" s="1139"/>
    </row>
    <row r="31" spans="1:73" ht="17.45" customHeight="1">
      <c r="A31" s="916"/>
      <c r="B31" s="916"/>
      <c r="C31" s="916"/>
      <c r="D31" s="916"/>
      <c r="E31" s="916"/>
      <c r="F31" s="916"/>
      <c r="G31" s="916"/>
      <c r="H31" s="916"/>
      <c r="I31" s="916"/>
      <c r="J31" s="916"/>
      <c r="K31" s="916"/>
      <c r="L31" s="916"/>
      <c r="M31" s="916"/>
      <c r="N31" s="916"/>
      <c r="O31" s="916"/>
      <c r="P31" s="916"/>
      <c r="Q31" s="916"/>
      <c r="R31" s="916"/>
      <c r="S31" s="916"/>
      <c r="T31" s="916"/>
      <c r="U31" s="916"/>
      <c r="V31" s="916"/>
      <c r="W31" s="1150"/>
      <c r="X31" s="1150"/>
      <c r="Y31" s="1150"/>
      <c r="Z31" s="1150"/>
      <c r="AA31" s="1150"/>
      <c r="AB31" s="1150"/>
      <c r="AC31" s="1150"/>
      <c r="AD31" s="1150"/>
      <c r="AE31" s="1150"/>
      <c r="AF31" s="1150"/>
      <c r="AG31" s="1150"/>
      <c r="AH31" s="1150"/>
      <c r="AI31" s="1150"/>
      <c r="AJ31" s="1158"/>
      <c r="AK31" s="1158"/>
      <c r="AL31" s="1158"/>
      <c r="AM31" s="1158"/>
      <c r="AN31" s="1158"/>
      <c r="AO31" s="1158"/>
      <c r="AP31" s="1158"/>
      <c r="AQ31" s="1158"/>
      <c r="AR31" s="1158"/>
      <c r="AS31" s="916"/>
      <c r="AT31" s="1144"/>
      <c r="AU31" s="1158"/>
      <c r="AV31" s="1158"/>
      <c r="AW31" s="1158"/>
      <c r="AX31" s="1158"/>
      <c r="AY31" s="1173"/>
      <c r="AZ31" s="1174"/>
      <c r="BA31" s="1158"/>
      <c r="BB31" s="1158"/>
      <c r="BC31" s="1144"/>
      <c r="BD31" s="1144"/>
      <c r="BE31" s="1144"/>
      <c r="BF31" s="1144"/>
      <c r="BG31" s="1144"/>
      <c r="BH31" s="1144"/>
      <c r="BI31" s="1144"/>
      <c r="BJ31" s="1144"/>
      <c r="BK31" s="1144"/>
      <c r="BL31" s="1144"/>
      <c r="BM31" s="1184" t="s">
        <v>659</v>
      </c>
      <c r="BN31" s="1185">
        <v>19.11195</v>
      </c>
      <c r="BO31" s="1185">
        <v>18.13185</v>
      </c>
      <c r="BP31" s="1185">
        <v>16.17165</v>
      </c>
      <c r="BQ31" s="1185">
        <v>13.231350000000001</v>
      </c>
      <c r="BR31" s="1186">
        <v>13.231350000000001</v>
      </c>
      <c r="BS31" s="1148"/>
      <c r="BT31" s="1148"/>
      <c r="BU31" s="1139"/>
    </row>
    <row r="32" spans="1:73" ht="17.45" customHeight="1" thickBot="1">
      <c r="A32" s="1083" t="s">
        <v>954</v>
      </c>
      <c r="B32" s="916"/>
      <c r="C32" s="916"/>
      <c r="D32" s="916"/>
      <c r="E32" s="916"/>
      <c r="F32" s="916"/>
      <c r="G32" s="916"/>
      <c r="H32" s="916"/>
      <c r="I32" s="916"/>
      <c r="J32" s="916"/>
      <c r="K32" s="916"/>
      <c r="L32" s="916"/>
      <c r="M32" s="916"/>
      <c r="N32" s="916"/>
      <c r="O32" s="916"/>
      <c r="P32" s="916"/>
      <c r="Q32" s="916"/>
      <c r="R32" s="916"/>
      <c r="S32" s="916"/>
      <c r="T32" s="916"/>
      <c r="U32" s="916"/>
      <c r="V32" s="916"/>
      <c r="W32" s="1150"/>
      <c r="X32" s="1150"/>
      <c r="Y32" s="1150"/>
      <c r="Z32" s="1150"/>
      <c r="AA32" s="1150"/>
      <c r="AB32" s="1150"/>
      <c r="AC32" s="1150"/>
      <c r="AD32" s="1150"/>
      <c r="AE32" s="1150"/>
      <c r="AF32" s="1150"/>
      <c r="AG32" s="1150"/>
      <c r="AH32" s="1150"/>
      <c r="AI32" s="1150"/>
      <c r="AJ32" s="1158"/>
      <c r="AK32" s="1158"/>
      <c r="AL32" s="1158"/>
      <c r="AM32" s="1158"/>
      <c r="AN32" s="1158"/>
      <c r="AO32" s="1158"/>
      <c r="AP32" s="1158"/>
      <c r="AQ32" s="1158"/>
      <c r="AR32" s="1158"/>
      <c r="AS32" s="916"/>
      <c r="AT32" s="1144"/>
      <c r="AU32" s="1158"/>
      <c r="AV32" s="1158"/>
      <c r="AW32" s="1158"/>
      <c r="AX32" s="1158"/>
      <c r="AY32" s="1173"/>
      <c r="AZ32" s="1174"/>
      <c r="BA32" s="1158"/>
      <c r="BB32" s="1158"/>
      <c r="BC32" s="1144"/>
      <c r="BD32" s="1144"/>
      <c r="BE32" s="1144"/>
      <c r="BF32" s="1144"/>
      <c r="BG32" s="1144"/>
      <c r="BH32" s="1144"/>
      <c r="BI32" s="1144"/>
      <c r="BJ32" s="1144"/>
      <c r="BK32" s="1144"/>
      <c r="BL32" s="1144"/>
      <c r="BM32" s="1187" t="s">
        <v>566</v>
      </c>
      <c r="BN32" s="1188">
        <v>19.11195</v>
      </c>
      <c r="BO32" s="1188">
        <v>18.13185</v>
      </c>
      <c r="BP32" s="1188">
        <v>16.17165</v>
      </c>
      <c r="BQ32" s="1188">
        <v>13.231350000000001</v>
      </c>
      <c r="BR32" s="1189">
        <v>13.231350000000001</v>
      </c>
      <c r="BS32" s="1148"/>
      <c r="BT32" s="1148"/>
      <c r="BU32" s="1139"/>
    </row>
    <row r="33" spans="1:73" ht="17.45" customHeight="1">
      <c r="A33" s="916"/>
      <c r="B33" s="916"/>
      <c r="C33" s="916"/>
      <c r="D33" s="916"/>
      <c r="E33" s="916"/>
      <c r="F33" s="916"/>
      <c r="G33" s="916"/>
      <c r="H33" s="916"/>
      <c r="I33" s="916"/>
      <c r="J33" s="916"/>
      <c r="K33" s="916"/>
      <c r="L33" s="916"/>
      <c r="M33" s="916"/>
      <c r="N33" s="916"/>
      <c r="O33" s="916"/>
      <c r="P33" s="916"/>
      <c r="Q33" s="916"/>
      <c r="R33" s="916"/>
      <c r="S33" s="916"/>
      <c r="T33" s="916"/>
      <c r="U33" s="916"/>
      <c r="V33" s="916"/>
      <c r="W33" s="1150"/>
      <c r="X33" s="1150"/>
      <c r="Y33" s="1150"/>
      <c r="Z33" s="1150"/>
      <c r="AA33" s="1150"/>
      <c r="AB33" s="1150"/>
      <c r="AC33" s="1150"/>
      <c r="AD33" s="1150"/>
      <c r="AE33" s="1150"/>
      <c r="AF33" s="1150"/>
      <c r="AG33" s="1150"/>
      <c r="AH33" s="1150"/>
      <c r="AI33" s="1150"/>
      <c r="AJ33" s="1158"/>
      <c r="AK33" s="1158"/>
      <c r="AL33" s="1158"/>
      <c r="AM33" s="1158"/>
      <c r="AN33" s="1158"/>
      <c r="AO33" s="1158"/>
      <c r="AP33" s="1158"/>
      <c r="AQ33" s="1158"/>
      <c r="AR33" s="1158"/>
      <c r="AS33" s="916"/>
      <c r="AT33" s="1144"/>
      <c r="AU33" s="1158"/>
      <c r="AV33" s="1158"/>
      <c r="AW33" s="1158"/>
      <c r="AX33" s="1158"/>
      <c r="AY33" s="1158"/>
      <c r="AZ33" s="1158"/>
      <c r="BA33" s="1158"/>
      <c r="BB33" s="1158"/>
      <c r="BC33" s="1144"/>
      <c r="BD33" s="1144"/>
      <c r="BE33" s="1144"/>
      <c r="BF33" s="1144"/>
      <c r="BG33" s="1144"/>
      <c r="BH33" s="1144"/>
      <c r="BI33" s="1144"/>
      <c r="BJ33" s="1144"/>
      <c r="BK33" s="1144"/>
      <c r="BL33" s="1144"/>
      <c r="BM33" s="1179" t="s">
        <v>570</v>
      </c>
      <c r="BN33" s="1181"/>
      <c r="BO33" s="1181"/>
      <c r="BP33" s="1182">
        <v>0.01</v>
      </c>
      <c r="BQ33" s="1181"/>
      <c r="BR33" s="1183"/>
      <c r="BS33" s="1148"/>
      <c r="BT33" s="1148"/>
      <c r="BU33" s="1139"/>
    </row>
    <row r="34" spans="1:73" ht="17.45" customHeight="1">
      <c r="A34" s="916"/>
      <c r="B34" s="912" t="s">
        <v>975</v>
      </c>
      <c r="C34" s="912" t="s">
        <v>976</v>
      </c>
      <c r="D34" s="916"/>
      <c r="E34" s="916"/>
      <c r="F34" s="916"/>
      <c r="G34" s="916"/>
      <c r="H34" s="916"/>
      <c r="I34" s="916"/>
      <c r="J34" s="916"/>
      <c r="K34" s="916"/>
      <c r="L34" s="916"/>
      <c r="M34" s="916"/>
      <c r="N34" s="916"/>
      <c r="O34" s="916"/>
      <c r="P34" s="916"/>
      <c r="Q34" s="916"/>
      <c r="R34" s="916"/>
      <c r="S34" s="916"/>
      <c r="T34" s="916"/>
      <c r="U34" s="916"/>
      <c r="V34" s="916"/>
      <c r="W34" s="1150"/>
      <c r="X34" s="1150"/>
      <c r="Y34" s="1150"/>
      <c r="Z34" s="1150"/>
      <c r="AA34" s="1150"/>
      <c r="AB34" s="1150"/>
      <c r="AC34" s="1150"/>
      <c r="AD34" s="1150"/>
      <c r="AE34" s="1150"/>
      <c r="AF34" s="1150"/>
      <c r="AG34" s="1150"/>
      <c r="AH34" s="1150"/>
      <c r="AI34" s="1150"/>
      <c r="AJ34" s="1158"/>
      <c r="AK34" s="1158"/>
      <c r="AL34" s="1158"/>
      <c r="AM34" s="1158"/>
      <c r="AN34" s="1158"/>
      <c r="AO34" s="1158"/>
      <c r="AP34" s="1158"/>
      <c r="AQ34" s="1158"/>
      <c r="AR34" s="1158"/>
      <c r="AS34" s="916"/>
      <c r="AT34" s="1144"/>
      <c r="AU34" s="1171" t="s">
        <v>588</v>
      </c>
      <c r="AV34" s="1158"/>
      <c r="AW34" s="1158"/>
      <c r="AX34" s="1158"/>
      <c r="AY34" s="1158"/>
      <c r="AZ34" s="1158"/>
      <c r="BA34" s="1158"/>
      <c r="BB34" s="1158"/>
      <c r="BC34" s="1144"/>
      <c r="BD34" s="1144"/>
      <c r="BE34" s="1144"/>
      <c r="BF34" s="1144"/>
      <c r="BG34" s="1144"/>
      <c r="BH34" s="1144"/>
      <c r="BI34" s="1144"/>
      <c r="BJ34" s="1144"/>
      <c r="BK34" s="1144"/>
      <c r="BL34" s="1144"/>
      <c r="BM34" s="1184" t="s">
        <v>658</v>
      </c>
      <c r="BN34" s="1185">
        <v>18.920830500000001</v>
      </c>
      <c r="BO34" s="1185">
        <v>17.9505315</v>
      </c>
      <c r="BP34" s="1185">
        <v>16.009933499999999</v>
      </c>
      <c r="BQ34" s="1185">
        <v>13.0990365</v>
      </c>
      <c r="BR34" s="1186">
        <v>13.0990365</v>
      </c>
      <c r="BS34" s="1148"/>
      <c r="BT34" s="1148"/>
      <c r="BU34" s="1139"/>
    </row>
    <row r="35" spans="1:73" ht="17.45" customHeight="1" thickBot="1">
      <c r="A35" s="916"/>
      <c r="B35" s="916"/>
      <c r="C35" s="916" t="s">
        <v>977</v>
      </c>
      <c r="D35" s="916"/>
      <c r="E35" s="916"/>
      <c r="F35" s="916"/>
      <c r="G35" s="916"/>
      <c r="H35" s="916"/>
      <c r="I35" s="916"/>
      <c r="J35" s="916"/>
      <c r="K35" s="916"/>
      <c r="L35" s="916"/>
      <c r="M35" s="916"/>
      <c r="N35" s="916"/>
      <c r="O35" s="916"/>
      <c r="P35" s="916"/>
      <c r="Q35" s="916"/>
      <c r="R35" s="916"/>
      <c r="S35" s="916"/>
      <c r="T35" s="916"/>
      <c r="U35" s="916"/>
      <c r="V35" s="916"/>
      <c r="W35" s="1150"/>
      <c r="X35" s="1150"/>
      <c r="Y35" s="1150"/>
      <c r="Z35" s="1150"/>
      <c r="AA35" s="1150"/>
      <c r="AB35" s="1150"/>
      <c r="AC35" s="1150"/>
      <c r="AD35" s="1150"/>
      <c r="AE35" s="1150"/>
      <c r="AF35" s="1150"/>
      <c r="AG35" s="1150"/>
      <c r="AH35" s="1150"/>
      <c r="AI35" s="1150"/>
      <c r="AJ35" s="1158"/>
      <c r="AK35" s="1158"/>
      <c r="AL35" s="1158"/>
      <c r="AM35" s="1158"/>
      <c r="AN35" s="1158"/>
      <c r="AO35" s="1158"/>
      <c r="AP35" s="1158"/>
      <c r="AQ35" s="1158"/>
      <c r="AR35" s="1158"/>
      <c r="AS35" s="916"/>
      <c r="AT35" s="1144"/>
      <c r="AU35" s="1158" t="s">
        <v>657</v>
      </c>
      <c r="AV35" s="1158"/>
      <c r="AW35" s="1158"/>
      <c r="AX35" s="1158"/>
      <c r="AY35" s="1158"/>
      <c r="AZ35" s="1158"/>
      <c r="BA35" s="1158"/>
      <c r="BB35" s="1158"/>
      <c r="BC35" s="1144"/>
      <c r="BD35" s="1144"/>
      <c r="BE35" s="1144"/>
      <c r="BF35" s="1144"/>
      <c r="BG35" s="1144"/>
      <c r="BH35" s="1144"/>
      <c r="BI35" s="1144"/>
      <c r="BJ35" s="1144"/>
      <c r="BK35" s="1144"/>
      <c r="BL35" s="1144"/>
      <c r="BM35" s="1187" t="s">
        <v>566</v>
      </c>
      <c r="BN35" s="1188">
        <v>18.920830500000001</v>
      </c>
      <c r="BO35" s="1188">
        <v>17.9505315</v>
      </c>
      <c r="BP35" s="1188">
        <v>16.009933499999999</v>
      </c>
      <c r="BQ35" s="1188">
        <v>13.0990365</v>
      </c>
      <c r="BR35" s="1189">
        <v>13.0990365</v>
      </c>
      <c r="BS35" s="1148"/>
      <c r="BT35" s="1148"/>
      <c r="BU35" s="1139"/>
    </row>
    <row r="36" spans="1:73" ht="17.45" customHeight="1">
      <c r="A36" s="916"/>
      <c r="B36" s="916"/>
      <c r="C36" s="916" t="s">
        <v>978</v>
      </c>
      <c r="D36" s="916"/>
      <c r="E36" s="916"/>
      <c r="F36" s="916"/>
      <c r="G36" s="916"/>
      <c r="H36" s="916"/>
      <c r="I36" s="916"/>
      <c r="J36" s="916"/>
      <c r="K36" s="916"/>
      <c r="L36" s="916"/>
      <c r="M36" s="916"/>
      <c r="N36" s="916"/>
      <c r="O36" s="916"/>
      <c r="P36" s="916"/>
      <c r="Q36" s="916"/>
      <c r="R36" s="916"/>
      <c r="S36" s="916"/>
      <c r="T36" s="916"/>
      <c r="U36" s="916"/>
      <c r="V36" s="916"/>
      <c r="W36" s="1150"/>
      <c r="X36" s="1150"/>
      <c r="Y36" s="1150"/>
      <c r="Z36" s="1150"/>
      <c r="AA36" s="1150"/>
      <c r="AB36" s="1150"/>
      <c r="AC36" s="1150"/>
      <c r="AD36" s="1150"/>
      <c r="AE36" s="1150"/>
      <c r="AF36" s="1150"/>
      <c r="AG36" s="1150"/>
      <c r="AH36" s="1150"/>
      <c r="AI36" s="1150"/>
      <c r="AJ36" s="1158"/>
      <c r="AK36" s="1158"/>
      <c r="AL36" s="1158"/>
      <c r="AM36" s="1158"/>
      <c r="AN36" s="1158"/>
      <c r="AO36" s="1158"/>
      <c r="AP36" s="1158"/>
      <c r="AQ36" s="1158"/>
      <c r="AR36" s="1158"/>
      <c r="AS36" s="916"/>
      <c r="AT36" s="1144"/>
      <c r="AU36" s="1158" t="s">
        <v>656</v>
      </c>
      <c r="AV36" s="1158"/>
      <c r="AW36" s="1158"/>
      <c r="AX36" s="1158"/>
      <c r="AY36" s="1158"/>
      <c r="AZ36" s="1158"/>
      <c r="BA36" s="1158"/>
      <c r="BB36" s="1158"/>
      <c r="BC36" s="1144"/>
      <c r="BD36" s="1144"/>
      <c r="BE36" s="1144"/>
      <c r="BF36" s="1144"/>
      <c r="BG36" s="1144"/>
      <c r="BH36" s="1144"/>
      <c r="BI36" s="1144"/>
      <c r="BJ36" s="1144"/>
      <c r="BK36" s="1144"/>
      <c r="BL36" s="1144"/>
      <c r="BM36" s="1179" t="s">
        <v>570</v>
      </c>
      <c r="BN36" s="1181"/>
      <c r="BO36" s="1181"/>
      <c r="BP36" s="1182">
        <v>0.01</v>
      </c>
      <c r="BQ36" s="1181"/>
      <c r="BR36" s="1183"/>
      <c r="BS36" s="1148"/>
      <c r="BT36" s="1148"/>
      <c r="BU36" s="1139"/>
    </row>
    <row r="37" spans="1:73" ht="17.45" customHeight="1">
      <c r="A37" s="916"/>
      <c r="B37" s="916"/>
      <c r="C37" s="916" t="s">
        <v>1184</v>
      </c>
      <c r="D37" s="916"/>
      <c r="E37" s="916"/>
      <c r="F37" s="916"/>
      <c r="G37" s="916"/>
      <c r="H37" s="916"/>
      <c r="I37" s="916"/>
      <c r="J37" s="916"/>
      <c r="K37" s="916"/>
      <c r="L37" s="916"/>
      <c r="M37" s="916"/>
      <c r="N37" s="916"/>
      <c r="O37" s="916"/>
      <c r="P37" s="916"/>
      <c r="Q37" s="916"/>
      <c r="R37" s="916"/>
      <c r="S37" s="916"/>
      <c r="T37" s="916"/>
      <c r="U37" s="916"/>
      <c r="V37" s="916"/>
      <c r="W37" s="1150"/>
      <c r="X37" s="1150"/>
      <c r="Y37" s="1150"/>
      <c r="Z37" s="1150"/>
      <c r="AA37" s="1150"/>
      <c r="AB37" s="1150"/>
      <c r="AC37" s="1150"/>
      <c r="AD37" s="1150"/>
      <c r="AE37" s="1150"/>
      <c r="AF37" s="1150"/>
      <c r="AG37" s="1150"/>
      <c r="AH37" s="1150"/>
      <c r="AI37" s="1150"/>
      <c r="AJ37" s="1158"/>
      <c r="AK37" s="1158"/>
      <c r="AL37" s="1158"/>
      <c r="AM37" s="1158"/>
      <c r="AN37" s="1158"/>
      <c r="AO37" s="1158"/>
      <c r="AP37" s="1158"/>
      <c r="AQ37" s="1158"/>
      <c r="AR37" s="1158"/>
      <c r="AS37" s="916"/>
      <c r="AT37" s="1144"/>
      <c r="AU37" s="1158" t="s">
        <v>655</v>
      </c>
      <c r="AV37" s="1158"/>
      <c r="AW37" s="1158"/>
      <c r="AX37" s="1158"/>
      <c r="AY37" s="1158"/>
      <c r="AZ37" s="1158"/>
      <c r="BA37" s="1158"/>
      <c r="BB37" s="1158"/>
      <c r="BC37" s="1144"/>
      <c r="BD37" s="1144"/>
      <c r="BE37" s="1144"/>
      <c r="BF37" s="1144"/>
      <c r="BG37" s="1144"/>
      <c r="BH37" s="1144"/>
      <c r="BI37" s="1144"/>
      <c r="BJ37" s="1144"/>
      <c r="BK37" s="1144"/>
      <c r="BL37" s="1144"/>
      <c r="BM37" s="1184" t="s">
        <v>654</v>
      </c>
      <c r="BN37" s="1185">
        <v>18.731622195</v>
      </c>
      <c r="BO37" s="1185">
        <v>17.771026185</v>
      </c>
      <c r="BP37" s="1185">
        <v>15.849834164999999</v>
      </c>
      <c r="BQ37" s="1185">
        <v>12.968046135</v>
      </c>
      <c r="BR37" s="1186">
        <v>12.968046135</v>
      </c>
      <c r="BS37" s="1148"/>
      <c r="BT37" s="1148"/>
      <c r="BU37" s="1139"/>
    </row>
    <row r="38" spans="1:73" ht="17.45" customHeight="1" thickBot="1">
      <c r="A38" s="916"/>
      <c r="B38" s="916" t="s">
        <v>1185</v>
      </c>
      <c r="C38" s="916" t="s">
        <v>1186</v>
      </c>
      <c r="D38" s="916"/>
      <c r="E38" s="916"/>
      <c r="F38" s="916"/>
      <c r="G38" s="916"/>
      <c r="H38" s="1163" t="s">
        <v>1174</v>
      </c>
      <c r="I38" s="916"/>
      <c r="J38" s="916"/>
      <c r="K38" s="916"/>
      <c r="L38" s="916"/>
      <c r="M38" s="916"/>
      <c r="N38" s="916"/>
      <c r="O38" s="916"/>
      <c r="P38" s="916"/>
      <c r="Q38" s="916"/>
      <c r="R38" s="916"/>
      <c r="S38" s="916"/>
      <c r="T38" s="916"/>
      <c r="U38" s="916"/>
      <c r="V38" s="916"/>
      <c r="W38" s="1150"/>
      <c r="X38" s="1150"/>
      <c r="Y38" s="1150"/>
      <c r="Z38" s="1150"/>
      <c r="AA38" s="1150"/>
      <c r="AB38" s="1150"/>
      <c r="AC38" s="1150"/>
      <c r="AD38" s="1150"/>
      <c r="AE38" s="1150"/>
      <c r="AF38" s="1150"/>
      <c r="AG38" s="1150"/>
      <c r="AH38" s="1150"/>
      <c r="AI38" s="1150"/>
      <c r="AJ38" s="1158"/>
      <c r="AK38" s="1158"/>
      <c r="AL38" s="1158"/>
      <c r="AM38" s="1158"/>
      <c r="AN38" s="1158"/>
      <c r="AO38" s="1158"/>
      <c r="AP38" s="1158"/>
      <c r="AQ38" s="1158"/>
      <c r="AR38" s="1158"/>
      <c r="AS38" s="916"/>
      <c r="AT38" s="1144"/>
      <c r="AU38" s="1158"/>
      <c r="AV38" s="1158"/>
      <c r="AW38" s="1158"/>
      <c r="AX38" s="1158"/>
      <c r="AY38" s="1158"/>
      <c r="AZ38" s="1158"/>
      <c r="BA38" s="1158"/>
      <c r="BB38" s="1158"/>
      <c r="BC38" s="1144"/>
      <c r="BD38" s="1144"/>
      <c r="BE38" s="1144"/>
      <c r="BF38" s="1144"/>
      <c r="BG38" s="1144"/>
      <c r="BH38" s="1144"/>
      <c r="BI38" s="1144"/>
      <c r="BJ38" s="1144"/>
      <c r="BK38" s="1144"/>
      <c r="BL38" s="1144"/>
      <c r="BM38" s="1187" t="s">
        <v>566</v>
      </c>
      <c r="BN38" s="1188">
        <v>18.731622195</v>
      </c>
      <c r="BO38" s="1188">
        <v>17.771026185</v>
      </c>
      <c r="BP38" s="1188">
        <v>15.849834164999999</v>
      </c>
      <c r="BQ38" s="1188">
        <v>12.968046135</v>
      </c>
      <c r="BR38" s="1189">
        <v>12.968046135</v>
      </c>
      <c r="BS38" s="1148"/>
      <c r="BT38" s="1148"/>
      <c r="BU38" s="1139"/>
    </row>
    <row r="39" spans="1:73" ht="17.45" customHeight="1">
      <c r="A39" s="916"/>
      <c r="B39" s="916"/>
      <c r="C39" s="916" t="s">
        <v>1187</v>
      </c>
      <c r="D39" s="916"/>
      <c r="E39" s="916"/>
      <c r="F39" s="916"/>
      <c r="G39" s="916"/>
      <c r="H39" s="916"/>
      <c r="I39" s="916"/>
      <c r="J39" s="916"/>
      <c r="K39" s="916"/>
      <c r="L39" s="916"/>
      <c r="M39" s="916"/>
      <c r="N39" s="916"/>
      <c r="O39" s="916"/>
      <c r="P39" s="916"/>
      <c r="Q39" s="916"/>
      <c r="R39" s="916"/>
      <c r="S39" s="916"/>
      <c r="T39" s="916"/>
      <c r="U39" s="916"/>
      <c r="V39" s="916"/>
      <c r="W39" s="1150"/>
      <c r="X39" s="1150"/>
      <c r="Y39" s="1150"/>
      <c r="Z39" s="1150"/>
      <c r="AA39" s="1150"/>
      <c r="AB39" s="1150"/>
      <c r="AC39" s="1150"/>
      <c r="AD39" s="1150"/>
      <c r="AE39" s="1150"/>
      <c r="AF39" s="1150"/>
      <c r="AG39" s="1150"/>
      <c r="AH39" s="1150"/>
      <c r="AI39" s="1150"/>
      <c r="AJ39" s="1158"/>
      <c r="AK39" s="1158"/>
      <c r="AL39" s="1158"/>
      <c r="AM39" s="1158"/>
      <c r="AN39" s="1158"/>
      <c r="AO39" s="1158"/>
      <c r="AP39" s="1158"/>
      <c r="AQ39" s="1158"/>
      <c r="AR39" s="1158"/>
      <c r="AS39" s="916"/>
      <c r="AT39" s="1144"/>
      <c r="AU39" s="1158" t="s">
        <v>589</v>
      </c>
      <c r="AV39" s="1158" t="s">
        <v>588</v>
      </c>
      <c r="AW39" s="1158"/>
      <c r="AX39" s="1158"/>
      <c r="AY39" s="1158"/>
      <c r="AZ39" s="1158"/>
      <c r="BA39" s="1158"/>
      <c r="BB39" s="1158"/>
      <c r="BC39" s="1144"/>
      <c r="BD39" s="1144"/>
      <c r="BE39" s="1144"/>
      <c r="BF39" s="1144"/>
      <c r="BG39" s="1144"/>
      <c r="BH39" s="1144"/>
      <c r="BI39" s="1144"/>
      <c r="BJ39" s="1144"/>
      <c r="BK39" s="1144"/>
      <c r="BL39" s="1144"/>
      <c r="BM39" s="1179" t="s">
        <v>570</v>
      </c>
      <c r="BN39" s="1181"/>
      <c r="BO39" s="1181"/>
      <c r="BP39" s="1182">
        <v>0.01</v>
      </c>
      <c r="BQ39" s="1181"/>
      <c r="BR39" s="1183"/>
      <c r="BS39" s="1148"/>
      <c r="BT39" s="1148"/>
      <c r="BU39" s="1139"/>
    </row>
    <row r="40" spans="1:73" ht="17.45" customHeight="1">
      <c r="A40" s="916"/>
      <c r="B40" s="916" t="s">
        <v>1188</v>
      </c>
      <c r="C40" s="916" t="s">
        <v>1189</v>
      </c>
      <c r="D40" s="916"/>
      <c r="E40" s="916"/>
      <c r="F40" s="916"/>
      <c r="G40" s="916"/>
      <c r="H40" s="916"/>
      <c r="I40" s="916"/>
      <c r="J40" s="916"/>
      <c r="K40" s="916"/>
      <c r="L40" s="916"/>
      <c r="M40" s="916"/>
      <c r="N40" s="916"/>
      <c r="O40" s="916"/>
      <c r="P40" s="916"/>
      <c r="Q40" s="916"/>
      <c r="R40" s="916"/>
      <c r="S40" s="916"/>
      <c r="T40" s="916"/>
      <c r="U40" s="916"/>
      <c r="V40" s="916"/>
      <c r="W40" s="1150"/>
      <c r="X40" s="1150"/>
      <c r="Y40" s="1150"/>
      <c r="Z40" s="1150"/>
      <c r="AA40" s="1150"/>
      <c r="AB40" s="1150"/>
      <c r="AC40" s="1150"/>
      <c r="AD40" s="1150"/>
      <c r="AE40" s="1150"/>
      <c r="AF40" s="1150"/>
      <c r="AG40" s="1150"/>
      <c r="AH40" s="1150"/>
      <c r="AI40" s="1150"/>
      <c r="AJ40" s="1158"/>
      <c r="AK40" s="1158"/>
      <c r="AL40" s="1158"/>
      <c r="AM40" s="1158"/>
      <c r="AN40" s="1158"/>
      <c r="AO40" s="1158"/>
      <c r="AP40" s="1158"/>
      <c r="AQ40" s="1158"/>
      <c r="AR40" s="1158"/>
      <c r="AS40" s="916"/>
      <c r="AT40" s="1144"/>
      <c r="AU40" s="1158" t="s">
        <v>587</v>
      </c>
      <c r="AV40" s="1158" t="s">
        <v>586</v>
      </c>
      <c r="AW40" s="1158"/>
      <c r="AX40" s="1174" t="s">
        <v>585</v>
      </c>
      <c r="AY40" s="1174"/>
      <c r="AZ40" s="1174" t="s">
        <v>584</v>
      </c>
      <c r="BA40" s="1158"/>
      <c r="BB40" s="1158"/>
      <c r="BC40" s="1144"/>
      <c r="BD40" s="1144"/>
      <c r="BE40" s="1144"/>
      <c r="BF40" s="1144"/>
      <c r="BG40" s="1144"/>
      <c r="BH40" s="1144"/>
      <c r="BI40" s="1144"/>
      <c r="BJ40" s="1144"/>
      <c r="BK40" s="1144"/>
      <c r="BL40" s="1144"/>
      <c r="BM40" s="1184" t="s">
        <v>653</v>
      </c>
      <c r="BN40" s="1185">
        <v>18.544305973050001</v>
      </c>
      <c r="BO40" s="1185">
        <v>17.593315923150001</v>
      </c>
      <c r="BP40" s="1185">
        <v>15.691335823349998</v>
      </c>
      <c r="BQ40" s="1185">
        <v>12.838365673649999</v>
      </c>
      <c r="BR40" s="1186">
        <v>12.838365673649999</v>
      </c>
      <c r="BS40" s="1148"/>
      <c r="BT40" s="1148"/>
      <c r="BU40" s="1139"/>
    </row>
    <row r="41" spans="1:73" ht="17.45" customHeight="1" thickBot="1">
      <c r="A41" s="916"/>
      <c r="B41" s="916" t="s">
        <v>1190</v>
      </c>
      <c r="C41" s="916" t="s">
        <v>1191</v>
      </c>
      <c r="D41" s="916"/>
      <c r="E41" s="916"/>
      <c r="F41" s="916"/>
      <c r="G41" s="916"/>
      <c r="H41" s="916"/>
      <c r="I41" s="916"/>
      <c r="J41" s="916"/>
      <c r="K41" s="916"/>
      <c r="L41" s="916"/>
      <c r="M41" s="916"/>
      <c r="N41" s="916"/>
      <c r="O41" s="916"/>
      <c r="P41" s="916"/>
      <c r="Q41" s="916"/>
      <c r="R41" s="916"/>
      <c r="S41" s="916"/>
      <c r="T41" s="916"/>
      <c r="U41" s="916"/>
      <c r="V41" s="916"/>
      <c r="W41" s="1150"/>
      <c r="X41" s="1150"/>
      <c r="Y41" s="1150"/>
      <c r="Z41" s="1150"/>
      <c r="AA41" s="1150"/>
      <c r="AB41" s="1150"/>
      <c r="AC41" s="1150"/>
      <c r="AD41" s="1150"/>
      <c r="AE41" s="1150"/>
      <c r="AF41" s="1150"/>
      <c r="AG41" s="1150"/>
      <c r="AH41" s="1150"/>
      <c r="AI41" s="1150"/>
      <c r="AJ41" s="1158"/>
      <c r="AK41" s="1158"/>
      <c r="AL41" s="1158"/>
      <c r="AM41" s="1158"/>
      <c r="AN41" s="1158"/>
      <c r="AO41" s="1158"/>
      <c r="AP41" s="1158"/>
      <c r="AQ41" s="1158"/>
      <c r="AR41" s="1158"/>
      <c r="AS41" s="916"/>
      <c r="AT41" s="1144"/>
      <c r="AU41" s="1158"/>
      <c r="AV41" s="1158"/>
      <c r="AW41" s="1158"/>
      <c r="AX41" s="1174" t="s">
        <v>583</v>
      </c>
      <c r="AY41" s="1174"/>
      <c r="AZ41" s="1174" t="s">
        <v>582</v>
      </c>
      <c r="BA41" s="1158"/>
      <c r="BB41" s="1158"/>
      <c r="BC41" s="1144"/>
      <c r="BD41" s="1144"/>
      <c r="BE41" s="1144"/>
      <c r="BF41" s="1144"/>
      <c r="BG41" s="1144"/>
      <c r="BH41" s="1144"/>
      <c r="BI41" s="1144"/>
      <c r="BJ41" s="1144"/>
      <c r="BK41" s="1144"/>
      <c r="BL41" s="1144"/>
      <c r="BM41" s="1187" t="s">
        <v>566</v>
      </c>
      <c r="BN41" s="1188">
        <v>18.544305973050001</v>
      </c>
      <c r="BO41" s="1188">
        <v>17.593315923150001</v>
      </c>
      <c r="BP41" s="1188">
        <v>15.691335823349998</v>
      </c>
      <c r="BQ41" s="1188">
        <v>12.838365673649999</v>
      </c>
      <c r="BR41" s="1189">
        <v>12.838365673649999</v>
      </c>
      <c r="BS41" s="1148"/>
      <c r="BT41" s="1148"/>
      <c r="BU41" s="1139"/>
    </row>
    <row r="42" spans="1:73" ht="17.45" customHeight="1">
      <c r="A42" s="916"/>
      <c r="B42" s="916"/>
      <c r="C42" s="916" t="s">
        <v>1192</v>
      </c>
      <c r="D42" s="916"/>
      <c r="E42" s="916"/>
      <c r="F42" s="916"/>
      <c r="G42" s="916"/>
      <c r="H42" s="916"/>
      <c r="I42" s="916"/>
      <c r="J42" s="916"/>
      <c r="K42" s="916"/>
      <c r="L42" s="916"/>
      <c r="M42" s="916"/>
      <c r="N42" s="916"/>
      <c r="O42" s="916"/>
      <c r="P42" s="916"/>
      <c r="Q42" s="916"/>
      <c r="R42" s="916"/>
      <c r="S42" s="916"/>
      <c r="T42" s="916"/>
      <c r="U42" s="916"/>
      <c r="V42" s="916"/>
      <c r="W42" s="1150"/>
      <c r="X42" s="1150"/>
      <c r="Y42" s="1150"/>
      <c r="Z42" s="1150"/>
      <c r="AA42" s="1150"/>
      <c r="AB42" s="1150"/>
      <c r="AC42" s="1150"/>
      <c r="AD42" s="1150"/>
      <c r="AE42" s="1150"/>
      <c r="AF42" s="1150"/>
      <c r="AG42" s="1150"/>
      <c r="AH42" s="1150"/>
      <c r="AI42" s="1150"/>
      <c r="AJ42" s="1158"/>
      <c r="AK42" s="1158"/>
      <c r="AL42" s="1158"/>
      <c r="AM42" s="1158"/>
      <c r="AN42" s="1158"/>
      <c r="AO42" s="1158"/>
      <c r="AP42" s="1158"/>
      <c r="AQ42" s="1158"/>
      <c r="AR42" s="1158"/>
      <c r="AS42" s="916"/>
      <c r="AT42" s="1144"/>
      <c r="AU42" s="1158" t="s">
        <v>581</v>
      </c>
      <c r="AV42" s="1158" t="s">
        <v>580</v>
      </c>
      <c r="AW42" s="1158"/>
      <c r="AX42" s="1158"/>
      <c r="AY42" s="1158"/>
      <c r="AZ42" s="1158"/>
      <c r="BA42" s="1158"/>
      <c r="BB42" s="1158"/>
      <c r="BC42" s="1144"/>
      <c r="BD42" s="1144"/>
      <c r="BE42" s="1144"/>
      <c r="BF42" s="1144"/>
      <c r="BG42" s="1144"/>
      <c r="BH42" s="1144"/>
      <c r="BI42" s="1144"/>
      <c r="BJ42" s="1144"/>
      <c r="BK42" s="1144"/>
      <c r="BL42" s="1144"/>
      <c r="BM42" s="1179" t="s">
        <v>570</v>
      </c>
      <c r="BN42" s="1181"/>
      <c r="BO42" s="1181"/>
      <c r="BP42" s="1182">
        <v>0.01</v>
      </c>
      <c r="BQ42" s="1181"/>
      <c r="BR42" s="1183"/>
      <c r="BS42" s="1148"/>
      <c r="BT42" s="1148"/>
      <c r="BU42" s="1139"/>
    </row>
    <row r="43" spans="1:73" ht="17.45" customHeight="1">
      <c r="A43" s="916"/>
      <c r="B43" s="916"/>
      <c r="C43" s="916"/>
      <c r="D43" s="916"/>
      <c r="E43" s="916"/>
      <c r="F43" s="916"/>
      <c r="G43" s="916"/>
      <c r="H43" s="916"/>
      <c r="I43" s="916"/>
      <c r="J43" s="916"/>
      <c r="K43" s="916"/>
      <c r="L43" s="916"/>
      <c r="M43" s="916"/>
      <c r="N43" s="916"/>
      <c r="O43" s="916"/>
      <c r="P43" s="916"/>
      <c r="Q43" s="916"/>
      <c r="R43" s="916"/>
      <c r="S43" s="916"/>
      <c r="T43" s="916"/>
      <c r="U43" s="916"/>
      <c r="V43" s="916"/>
      <c r="W43" s="1150"/>
      <c r="X43" s="1150"/>
      <c r="Y43" s="1150"/>
      <c r="Z43" s="1150"/>
      <c r="AA43" s="1150"/>
      <c r="AB43" s="1150"/>
      <c r="AC43" s="1150"/>
      <c r="AD43" s="1150"/>
      <c r="AE43" s="1150"/>
      <c r="AF43" s="1150"/>
      <c r="AG43" s="1150"/>
      <c r="AH43" s="1150"/>
      <c r="AI43" s="1150"/>
      <c r="AJ43" s="1158"/>
      <c r="AK43" s="1158"/>
      <c r="AL43" s="1158"/>
      <c r="AM43" s="1158"/>
      <c r="AN43" s="1158"/>
      <c r="AO43" s="1158"/>
      <c r="AP43" s="1158"/>
      <c r="AQ43" s="1158"/>
      <c r="AR43" s="1158"/>
      <c r="AS43" s="916"/>
      <c r="AT43" s="1144"/>
      <c r="AU43" s="1158"/>
      <c r="AV43" s="1158" t="s">
        <v>578</v>
      </c>
      <c r="AW43" s="1158"/>
      <c r="AX43" s="1158"/>
      <c r="AY43" s="1174" t="s">
        <v>577</v>
      </c>
      <c r="AZ43" s="1158"/>
      <c r="BA43" s="1158"/>
      <c r="BB43" s="1158"/>
      <c r="BC43" s="1144"/>
      <c r="BD43" s="1144"/>
      <c r="BE43" s="1144"/>
      <c r="BF43" s="1144"/>
      <c r="BG43" s="1144"/>
      <c r="BH43" s="1144"/>
      <c r="BI43" s="1144"/>
      <c r="BJ43" s="1144"/>
      <c r="BK43" s="1144"/>
      <c r="BL43" s="1144"/>
      <c r="BM43" s="1184" t="s">
        <v>652</v>
      </c>
      <c r="BN43" s="1185">
        <v>18.358862913319502</v>
      </c>
      <c r="BO43" s="1185">
        <v>17.4173827639185</v>
      </c>
      <c r="BP43" s="1185">
        <v>15.534422465116497</v>
      </c>
      <c r="BQ43" s="1185">
        <v>12.7099820169135</v>
      </c>
      <c r="BR43" s="1186">
        <v>12.7099820169135</v>
      </c>
      <c r="BS43" s="1148"/>
      <c r="BT43" s="1148"/>
      <c r="BU43" s="1139"/>
    </row>
    <row r="44" spans="1:73" ht="17.45" customHeight="1" thickBot="1">
      <c r="A44" s="1083" t="s">
        <v>1050</v>
      </c>
      <c r="B44" s="916"/>
      <c r="C44" s="916"/>
      <c r="D44" s="916"/>
      <c r="E44" s="916"/>
      <c r="F44" s="916"/>
      <c r="G44" s="916"/>
      <c r="H44" s="916"/>
      <c r="I44" s="916"/>
      <c r="J44" s="916"/>
      <c r="K44" s="916"/>
      <c r="L44" s="916"/>
      <c r="M44" s="916"/>
      <c r="N44" s="916"/>
      <c r="O44" s="916"/>
      <c r="P44" s="916"/>
      <c r="Q44" s="916"/>
      <c r="R44" s="916"/>
      <c r="S44" s="916"/>
      <c r="T44" s="916"/>
      <c r="U44" s="916"/>
      <c r="V44" s="916"/>
      <c r="W44" s="1150"/>
      <c r="X44" s="1150"/>
      <c r="Y44" s="1150"/>
      <c r="Z44" s="1150"/>
      <c r="AA44" s="1150"/>
      <c r="AB44" s="1150"/>
      <c r="AC44" s="1150"/>
      <c r="AD44" s="1150"/>
      <c r="AE44" s="1150"/>
      <c r="AF44" s="1150"/>
      <c r="AG44" s="1150"/>
      <c r="AH44" s="1150"/>
      <c r="AI44" s="1150"/>
      <c r="AJ44" s="1158"/>
      <c r="AK44" s="1158"/>
      <c r="AL44" s="1158"/>
      <c r="AM44" s="1158"/>
      <c r="AN44" s="1158"/>
      <c r="AO44" s="1158"/>
      <c r="AP44" s="1158"/>
      <c r="AQ44" s="1158"/>
      <c r="AR44" s="1158"/>
      <c r="AS44" s="916"/>
      <c r="AT44" s="1144"/>
      <c r="AU44" s="1158"/>
      <c r="AV44" s="1158"/>
      <c r="AW44" s="1158"/>
      <c r="AX44" s="1158"/>
      <c r="AY44" s="1158"/>
      <c r="AZ44" s="1158"/>
      <c r="BA44" s="1158"/>
      <c r="BB44" s="1158"/>
      <c r="BC44" s="1144"/>
      <c r="BD44" s="1144"/>
      <c r="BE44" s="1144"/>
      <c r="BF44" s="1144"/>
      <c r="BG44" s="1144"/>
      <c r="BH44" s="1144"/>
      <c r="BI44" s="1144"/>
      <c r="BJ44" s="1144"/>
      <c r="BK44" s="1144"/>
      <c r="BL44" s="1144"/>
      <c r="BM44" s="1187" t="s">
        <v>566</v>
      </c>
      <c r="BN44" s="1188">
        <v>18.358862913319502</v>
      </c>
      <c r="BO44" s="1188">
        <v>17.4173827639185</v>
      </c>
      <c r="BP44" s="1188">
        <v>15.534422465116497</v>
      </c>
      <c r="BQ44" s="1188">
        <v>12.7099820169135</v>
      </c>
      <c r="BR44" s="1189">
        <v>12.7099820169135</v>
      </c>
      <c r="BS44" s="1148"/>
      <c r="BT44" s="1148"/>
      <c r="BU44" s="1139"/>
    </row>
    <row r="45" spans="1:73" ht="17.45" customHeight="1" thickBot="1">
      <c r="A45" s="916"/>
      <c r="B45" s="916"/>
      <c r="C45" s="916"/>
      <c r="D45" s="916"/>
      <c r="E45" s="916"/>
      <c r="F45" s="916"/>
      <c r="G45" s="916"/>
      <c r="H45" s="916"/>
      <c r="I45" s="916"/>
      <c r="J45" s="916"/>
      <c r="K45" s="916"/>
      <c r="L45" s="916"/>
      <c r="M45" s="916"/>
      <c r="N45" s="916"/>
      <c r="O45" s="916"/>
      <c r="P45" s="916"/>
      <c r="Q45" s="916"/>
      <c r="R45" s="916"/>
      <c r="S45" s="916"/>
      <c r="T45" s="916"/>
      <c r="U45" s="916"/>
      <c r="V45" s="916"/>
      <c r="W45" s="1150"/>
      <c r="X45" s="1150"/>
      <c r="Y45" s="1150"/>
      <c r="Z45" s="1150"/>
      <c r="AA45" s="1150"/>
      <c r="AB45" s="1150"/>
      <c r="AC45" s="1150"/>
      <c r="AD45" s="1150"/>
      <c r="AE45" s="1150"/>
      <c r="AF45" s="1150"/>
      <c r="AG45" s="1150"/>
      <c r="AH45" s="1150"/>
      <c r="AI45" s="1150"/>
      <c r="AJ45" s="1158"/>
      <c r="AK45" s="1158"/>
      <c r="AL45" s="1158"/>
      <c r="AM45" s="1158"/>
      <c r="AN45" s="1158"/>
      <c r="AO45" s="1158"/>
      <c r="AP45" s="1158"/>
      <c r="AQ45" s="1158"/>
      <c r="AR45" s="1158"/>
      <c r="AS45" s="916"/>
      <c r="AT45" s="1144"/>
      <c r="AU45" s="1158" t="s">
        <v>651</v>
      </c>
      <c r="AV45" s="1158"/>
      <c r="AW45" s="1158"/>
      <c r="AX45" s="1158"/>
      <c r="AY45" s="1158"/>
      <c r="AZ45" s="1158"/>
      <c r="BA45" s="1158"/>
      <c r="BB45" s="1158"/>
      <c r="BC45" s="1144"/>
      <c r="BD45" s="1144"/>
      <c r="BE45" s="1144"/>
      <c r="BF45" s="1144"/>
      <c r="BG45" s="1144"/>
      <c r="BH45" s="1144"/>
      <c r="BI45" s="1144"/>
      <c r="BJ45" s="1144"/>
      <c r="BK45" s="1144"/>
      <c r="BL45" s="1144"/>
      <c r="BM45" s="1181"/>
      <c r="BN45" s="1181"/>
      <c r="BO45" s="1181"/>
      <c r="BP45" s="1190"/>
      <c r="BQ45" s="1181"/>
      <c r="BR45" s="1181"/>
      <c r="BS45" s="1148"/>
      <c r="BT45" s="1148"/>
      <c r="BU45" s="1139"/>
    </row>
    <row r="46" spans="1:73" ht="17.45" customHeight="1">
      <c r="A46" s="916"/>
      <c r="B46" s="912" t="s">
        <v>1051</v>
      </c>
      <c r="C46" s="916" t="s">
        <v>1052</v>
      </c>
      <c r="D46" s="916"/>
      <c r="E46" s="916"/>
      <c r="F46" s="916"/>
      <c r="G46" s="916"/>
      <c r="H46" s="916"/>
      <c r="I46" s="916"/>
      <c r="J46" s="916"/>
      <c r="K46" s="916"/>
      <c r="L46" s="916"/>
      <c r="M46" s="916"/>
      <c r="N46" s="916"/>
      <c r="O46" s="916"/>
      <c r="P46" s="916"/>
      <c r="Q46" s="916"/>
      <c r="R46" s="916"/>
      <c r="S46" s="916"/>
      <c r="T46" s="916"/>
      <c r="U46" s="916"/>
      <c r="V46" s="916"/>
      <c r="W46" s="1150"/>
      <c r="X46" s="1150"/>
      <c r="Y46" s="1191"/>
      <c r="Z46" s="1192"/>
      <c r="AA46" s="1191"/>
      <c r="AB46" s="1192"/>
      <c r="AC46" s="1192"/>
      <c r="AD46" s="1150"/>
      <c r="AE46" s="1150"/>
      <c r="AF46" s="1150"/>
      <c r="AG46" s="1150"/>
      <c r="AH46" s="1150"/>
      <c r="AI46" s="1150"/>
      <c r="AJ46" s="1158"/>
      <c r="AK46" s="1158"/>
      <c r="AL46" s="1158"/>
      <c r="AM46" s="1158"/>
      <c r="AN46" s="1158"/>
      <c r="AO46" s="1158"/>
      <c r="AP46" s="1158"/>
      <c r="AQ46" s="1158"/>
      <c r="AR46" s="1158"/>
      <c r="AS46" s="916"/>
      <c r="AT46" s="1144"/>
      <c r="AU46" s="1158" t="s">
        <v>650</v>
      </c>
      <c r="AV46" s="1158"/>
      <c r="AW46" s="1158"/>
      <c r="AX46" s="1158"/>
      <c r="AY46" s="1158"/>
      <c r="AZ46" s="1158"/>
      <c r="BA46" s="1158"/>
      <c r="BB46" s="1158"/>
      <c r="BC46" s="1144"/>
      <c r="BD46" s="1144"/>
      <c r="BE46" s="1144"/>
      <c r="BF46" s="1144"/>
      <c r="BG46" s="1144"/>
      <c r="BH46" s="1144"/>
      <c r="BI46" s="1144"/>
      <c r="BJ46" s="1144"/>
      <c r="BK46" s="1144"/>
      <c r="BL46" s="1144"/>
      <c r="BM46" s="1179" t="s">
        <v>570</v>
      </c>
      <c r="BN46" s="1181"/>
      <c r="BO46" s="1181"/>
      <c r="BP46" s="1182">
        <v>2.5000000000000001E-2</v>
      </c>
      <c r="BQ46" s="1181"/>
      <c r="BR46" s="1183"/>
      <c r="BS46" s="1148"/>
      <c r="BT46" s="1148"/>
      <c r="BU46" s="1139"/>
    </row>
    <row r="47" spans="1:73" ht="17.45" customHeight="1">
      <c r="A47" s="916"/>
      <c r="B47" s="912" t="s">
        <v>1053</v>
      </c>
      <c r="C47" s="916" t="s">
        <v>1193</v>
      </c>
      <c r="D47" s="916"/>
      <c r="E47" s="916"/>
      <c r="F47" s="916"/>
      <c r="G47" s="916"/>
      <c r="H47" s="916"/>
      <c r="I47" s="916"/>
      <c r="J47" s="916"/>
      <c r="K47" s="916"/>
      <c r="L47" s="916"/>
      <c r="M47" s="916"/>
      <c r="N47" s="916"/>
      <c r="O47" s="916"/>
      <c r="P47" s="916"/>
      <c r="Q47" s="916"/>
      <c r="R47" s="916"/>
      <c r="S47" s="916"/>
      <c r="T47" s="916"/>
      <c r="U47" s="916"/>
      <c r="V47" s="916"/>
      <c r="W47" s="1150"/>
      <c r="X47" s="1150"/>
      <c r="Y47" s="1191"/>
      <c r="Z47" s="1192"/>
      <c r="AA47" s="1191"/>
      <c r="AB47" s="1192"/>
      <c r="AC47" s="1192"/>
      <c r="AD47" s="1150"/>
      <c r="AE47" s="1150"/>
      <c r="AF47" s="1150"/>
      <c r="AG47" s="1150"/>
      <c r="AH47" s="1150"/>
      <c r="AI47" s="1150"/>
      <c r="AJ47" s="1158"/>
      <c r="AK47" s="1158"/>
      <c r="AL47" s="1158"/>
      <c r="AM47" s="1158"/>
      <c r="AN47" s="1158"/>
      <c r="AO47" s="1158"/>
      <c r="AP47" s="1158"/>
      <c r="AQ47" s="1158"/>
      <c r="AR47" s="1158"/>
      <c r="AS47" s="916"/>
      <c r="AT47" s="1144"/>
      <c r="AU47" s="1158"/>
      <c r="AV47" s="1158"/>
      <c r="AW47" s="1158"/>
      <c r="AX47" s="1158"/>
      <c r="AY47" s="1158"/>
      <c r="AZ47" s="1158"/>
      <c r="BA47" s="1158"/>
      <c r="BB47" s="1158"/>
      <c r="BC47" s="1144"/>
      <c r="BD47" s="1144"/>
      <c r="BE47" s="1144"/>
      <c r="BF47" s="1144"/>
      <c r="BG47" s="1144"/>
      <c r="BH47" s="1144"/>
      <c r="BI47" s="1144"/>
      <c r="BJ47" s="1144"/>
      <c r="BK47" s="1144"/>
      <c r="BL47" s="1144"/>
      <c r="BM47" s="1184" t="s">
        <v>649</v>
      </c>
      <c r="BN47" s="1185">
        <v>17.899891340486516</v>
      </c>
      <c r="BO47" s="1185">
        <v>16.981948194820536</v>
      </c>
      <c r="BP47" s="1185">
        <v>15.146061903488585</v>
      </c>
      <c r="BQ47" s="1185">
        <v>12.392232466490663</v>
      </c>
      <c r="BR47" s="1186">
        <v>12.392232466490663</v>
      </c>
      <c r="BS47" s="1148"/>
      <c r="BT47" s="1148"/>
      <c r="BU47" s="1139"/>
    </row>
    <row r="48" spans="1:73" ht="17.45" customHeight="1" thickBot="1">
      <c r="A48" s="916"/>
      <c r="B48" s="916"/>
      <c r="C48" s="916"/>
      <c r="D48" s="916"/>
      <c r="E48" s="916"/>
      <c r="F48" s="916"/>
      <c r="G48" s="916"/>
      <c r="H48" s="916"/>
      <c r="I48" s="916"/>
      <c r="J48" s="916"/>
      <c r="K48" s="916"/>
      <c r="L48" s="916"/>
      <c r="M48" s="916"/>
      <c r="N48" s="916"/>
      <c r="O48" s="916"/>
      <c r="P48" s="916"/>
      <c r="Q48" s="916"/>
      <c r="R48" s="916"/>
      <c r="S48" s="916"/>
      <c r="T48" s="916"/>
      <c r="U48" s="916"/>
      <c r="V48" s="916"/>
      <c r="W48" s="1150"/>
      <c r="X48" s="1150"/>
      <c r="Y48" s="1191"/>
      <c r="Z48" s="1192"/>
      <c r="AA48" s="1191"/>
      <c r="AB48" s="1192"/>
      <c r="AC48" s="1192"/>
      <c r="AD48" s="1150"/>
      <c r="AE48" s="1150"/>
      <c r="AF48" s="1150"/>
      <c r="AG48" s="1150"/>
      <c r="AH48" s="1150"/>
      <c r="AI48" s="1150"/>
      <c r="AJ48" s="1158"/>
      <c r="AK48" s="1158"/>
      <c r="AL48" s="1158"/>
      <c r="AM48" s="1158"/>
      <c r="AN48" s="1158"/>
      <c r="AO48" s="1158"/>
      <c r="AP48" s="1158"/>
      <c r="AQ48" s="1158"/>
      <c r="AR48" s="1158"/>
      <c r="AS48" s="916"/>
      <c r="AT48" s="1144"/>
      <c r="AU48" s="1158"/>
      <c r="AV48" s="1158"/>
      <c r="AW48" s="1158"/>
      <c r="AX48" s="1158"/>
      <c r="AY48" s="1158"/>
      <c r="AZ48" s="1158"/>
      <c r="BA48" s="1158"/>
      <c r="BB48" s="1158"/>
      <c r="BC48" s="1144"/>
      <c r="BD48" s="1144"/>
      <c r="BE48" s="1144"/>
      <c r="BF48" s="1144"/>
      <c r="BG48" s="1144"/>
      <c r="BH48" s="1144"/>
      <c r="BI48" s="1144"/>
      <c r="BJ48" s="1144"/>
      <c r="BK48" s="1144"/>
      <c r="BL48" s="1144"/>
      <c r="BM48" s="1187" t="s">
        <v>566</v>
      </c>
      <c r="BN48" s="1188">
        <v>17.899891340486516</v>
      </c>
      <c r="BO48" s="1188">
        <v>16.981948194820536</v>
      </c>
      <c r="BP48" s="1188">
        <v>15.146061903488585</v>
      </c>
      <c r="BQ48" s="1188">
        <v>12.392232466490663</v>
      </c>
      <c r="BR48" s="1189">
        <v>12.392232466490663</v>
      </c>
      <c r="BS48" s="1148"/>
      <c r="BT48" s="1148"/>
      <c r="BU48" s="1139"/>
    </row>
    <row r="49" spans="1:73" ht="17.45" customHeight="1">
      <c r="A49" s="916"/>
      <c r="B49" s="916"/>
      <c r="C49" s="916"/>
      <c r="D49" s="916"/>
      <c r="E49" s="916"/>
      <c r="F49" s="916"/>
      <c r="G49" s="916"/>
      <c r="H49" s="916"/>
      <c r="I49" s="916"/>
      <c r="J49" s="916"/>
      <c r="K49" s="916"/>
      <c r="L49" s="916"/>
      <c r="M49" s="916"/>
      <c r="N49" s="916"/>
      <c r="O49" s="916"/>
      <c r="P49" s="916"/>
      <c r="Q49" s="916"/>
      <c r="R49" s="916"/>
      <c r="S49" s="916"/>
      <c r="T49" s="916"/>
      <c r="U49" s="916"/>
      <c r="V49" s="916"/>
      <c r="W49" s="1150"/>
      <c r="X49" s="1150"/>
      <c r="Y49" s="1192"/>
      <c r="Z49" s="1192"/>
      <c r="AA49" s="1192"/>
      <c r="AB49" s="1192"/>
      <c r="AC49" s="1192"/>
      <c r="AD49" s="1150"/>
      <c r="AE49" s="1150"/>
      <c r="AF49" s="1150"/>
      <c r="AG49" s="1150"/>
      <c r="AH49" s="1150"/>
      <c r="AI49" s="1150"/>
      <c r="AJ49" s="1158"/>
      <c r="AK49" s="1158"/>
      <c r="AL49" s="1158"/>
      <c r="AM49" s="1158"/>
      <c r="AN49" s="1158"/>
      <c r="AO49" s="1158"/>
      <c r="AP49" s="1158"/>
      <c r="AQ49" s="1158"/>
      <c r="AR49" s="1158"/>
      <c r="AS49" s="916"/>
      <c r="AT49" s="1144"/>
      <c r="AU49" s="1158"/>
      <c r="AV49" s="1158"/>
      <c r="AW49" s="1158"/>
      <c r="AX49" s="1158"/>
      <c r="AY49" s="1158"/>
      <c r="AZ49" s="1158"/>
      <c r="BA49" s="1158"/>
      <c r="BB49" s="1158"/>
      <c r="BC49" s="1144"/>
      <c r="BD49" s="1144"/>
      <c r="BE49" s="1144"/>
      <c r="BF49" s="1144"/>
      <c r="BG49" s="1144"/>
      <c r="BH49" s="1144"/>
      <c r="BI49" s="1144"/>
      <c r="BJ49" s="1144"/>
      <c r="BK49" s="1144"/>
      <c r="BL49" s="1144"/>
      <c r="BM49" s="1179" t="s">
        <v>570</v>
      </c>
      <c r="BN49" s="1181"/>
      <c r="BO49" s="1181"/>
      <c r="BP49" s="1182">
        <v>2.5000000000000001E-2</v>
      </c>
      <c r="BQ49" s="1181"/>
      <c r="BR49" s="1183"/>
      <c r="BS49" s="1148"/>
      <c r="BT49" s="1148"/>
      <c r="BU49" s="1139"/>
    </row>
    <row r="50" spans="1:73" ht="17.45" customHeight="1">
      <c r="A50" s="916"/>
      <c r="B50" s="916"/>
      <c r="C50" s="916"/>
      <c r="D50" s="916"/>
      <c r="E50" s="916"/>
      <c r="F50" s="916"/>
      <c r="G50" s="916"/>
      <c r="H50" s="916"/>
      <c r="I50" s="916"/>
      <c r="J50" s="916"/>
      <c r="K50" s="916"/>
      <c r="L50" s="916"/>
      <c r="M50" s="916"/>
      <c r="N50" s="916"/>
      <c r="O50" s="916"/>
      <c r="P50" s="916"/>
      <c r="Q50" s="916"/>
      <c r="R50" s="916"/>
      <c r="S50" s="916"/>
      <c r="T50" s="916"/>
      <c r="U50" s="916"/>
      <c r="V50" s="916"/>
      <c r="W50" s="1150"/>
      <c r="X50" s="1150"/>
      <c r="Y50" s="1150"/>
      <c r="Z50" s="1150"/>
      <c r="AA50" s="1150"/>
      <c r="AB50" s="1150"/>
      <c r="AC50" s="1150"/>
      <c r="AD50" s="1150"/>
      <c r="AE50" s="1150"/>
      <c r="AF50" s="1150"/>
      <c r="AG50" s="1150"/>
      <c r="AH50" s="1150"/>
      <c r="AI50" s="1150"/>
      <c r="AJ50" s="1158"/>
      <c r="AK50" s="1158"/>
      <c r="AL50" s="1158"/>
      <c r="AM50" s="1158"/>
      <c r="AN50" s="1158"/>
      <c r="AO50" s="1158"/>
      <c r="AP50" s="1158"/>
      <c r="AQ50" s="1158"/>
      <c r="AR50" s="1158"/>
      <c r="AS50" s="916"/>
      <c r="AT50" s="1144"/>
      <c r="AU50" s="1171" t="s">
        <v>648</v>
      </c>
      <c r="AV50" s="1158"/>
      <c r="AW50" s="1158"/>
      <c r="AX50" s="1158"/>
      <c r="AY50" s="1158"/>
      <c r="AZ50" s="1158"/>
      <c r="BA50" s="1158"/>
      <c r="BB50" s="1158"/>
      <c r="BC50" s="1144"/>
      <c r="BD50" s="1144"/>
      <c r="BE50" s="1144"/>
      <c r="BF50" s="1144"/>
      <c r="BG50" s="1144"/>
      <c r="BH50" s="1144"/>
      <c r="BI50" s="1144"/>
      <c r="BJ50" s="1144"/>
      <c r="BK50" s="1144"/>
      <c r="BL50" s="1144"/>
      <c r="BM50" s="1184" t="s">
        <v>647</v>
      </c>
      <c r="BN50" s="1185">
        <v>17.452394056974352</v>
      </c>
      <c r="BO50" s="1185">
        <v>16.557399489950022</v>
      </c>
      <c r="BP50" s="1185">
        <v>14.767410355901371</v>
      </c>
      <c r="BQ50" s="1185">
        <v>12.082426654828396</v>
      </c>
      <c r="BR50" s="1186">
        <v>12.082426654828396</v>
      </c>
      <c r="BS50" s="1148"/>
      <c r="BT50" s="1148"/>
      <c r="BU50" s="1139"/>
    </row>
    <row r="51" spans="1:73" ht="17.45" customHeight="1" thickBot="1">
      <c r="A51" s="916"/>
      <c r="B51" s="916"/>
      <c r="C51" s="916"/>
      <c r="D51" s="916"/>
      <c r="E51" s="916"/>
      <c r="F51" s="916"/>
      <c r="G51" s="916"/>
      <c r="H51" s="916"/>
      <c r="I51" s="916"/>
      <c r="J51" s="916"/>
      <c r="K51" s="916"/>
      <c r="L51" s="916"/>
      <c r="M51" s="916"/>
      <c r="N51" s="916"/>
      <c r="O51" s="916"/>
      <c r="P51" s="916"/>
      <c r="Q51" s="916"/>
      <c r="R51" s="916"/>
      <c r="S51" s="916"/>
      <c r="T51" s="916"/>
      <c r="U51" s="916"/>
      <c r="V51" s="916"/>
      <c r="W51" s="1150"/>
      <c r="X51" s="1150"/>
      <c r="Y51" s="1150"/>
      <c r="Z51" s="1150"/>
      <c r="AA51" s="1150"/>
      <c r="AB51" s="1150"/>
      <c r="AC51" s="1150"/>
      <c r="AD51" s="1150"/>
      <c r="AE51" s="1150"/>
      <c r="AF51" s="1150"/>
      <c r="AG51" s="1150"/>
      <c r="AH51" s="1150"/>
      <c r="AI51" s="1150"/>
      <c r="AJ51" s="1158"/>
      <c r="AK51" s="1158"/>
      <c r="AL51" s="1158"/>
      <c r="AM51" s="1158"/>
      <c r="AN51" s="1158"/>
      <c r="AO51" s="1158"/>
      <c r="AP51" s="1158"/>
      <c r="AQ51" s="1158"/>
      <c r="AR51" s="1158"/>
      <c r="AS51" s="916"/>
      <c r="AT51" s="1144"/>
      <c r="AU51" s="1158" t="s">
        <v>702</v>
      </c>
      <c r="AV51" s="1158"/>
      <c r="AW51" s="1158"/>
      <c r="AX51" s="1158"/>
      <c r="AY51" s="1158"/>
      <c r="AZ51" s="1158"/>
      <c r="BA51" s="1158"/>
      <c r="BB51" s="1158"/>
      <c r="BC51" s="1144"/>
      <c r="BD51" s="1144"/>
      <c r="BE51" s="1144"/>
      <c r="BF51" s="1144"/>
      <c r="BG51" s="1144"/>
      <c r="BH51" s="1144"/>
      <c r="BI51" s="1144"/>
      <c r="BJ51" s="1144"/>
      <c r="BK51" s="1144"/>
      <c r="BL51" s="1144"/>
      <c r="BM51" s="1187" t="s">
        <v>566</v>
      </c>
      <c r="BN51" s="1188">
        <v>17.452394056974352</v>
      </c>
      <c r="BO51" s="1188">
        <v>16.557399489950022</v>
      </c>
      <c r="BP51" s="1188">
        <v>14.767410355901371</v>
      </c>
      <c r="BQ51" s="1188">
        <v>12.082426654828396</v>
      </c>
      <c r="BR51" s="1189">
        <v>12.082426654828396</v>
      </c>
      <c r="BS51" s="1148"/>
      <c r="BT51" s="1148"/>
      <c r="BU51" s="1139"/>
    </row>
    <row r="52" spans="1:73" ht="17.45" customHeight="1">
      <c r="A52" s="916"/>
      <c r="B52" s="916"/>
      <c r="C52" s="916"/>
      <c r="D52" s="916"/>
      <c r="E52" s="916"/>
      <c r="F52" s="916"/>
      <c r="G52" s="916"/>
      <c r="H52" s="916"/>
      <c r="I52" s="916"/>
      <c r="J52" s="916"/>
      <c r="K52" s="916"/>
      <c r="L52" s="916"/>
      <c r="M52" s="916"/>
      <c r="N52" s="916"/>
      <c r="O52" s="916"/>
      <c r="P52" s="916"/>
      <c r="Q52" s="916"/>
      <c r="R52" s="916"/>
      <c r="S52" s="916"/>
      <c r="T52" s="916"/>
      <c r="U52" s="916"/>
      <c r="V52" s="916"/>
      <c r="W52" s="1150"/>
      <c r="X52" s="1150"/>
      <c r="Y52" s="1150"/>
      <c r="Z52" s="1150"/>
      <c r="AA52" s="1150"/>
      <c r="AB52" s="1150"/>
      <c r="AC52" s="1150"/>
      <c r="AD52" s="1150"/>
      <c r="AE52" s="1150"/>
      <c r="AF52" s="1150"/>
      <c r="AG52" s="1150"/>
      <c r="AH52" s="1150"/>
      <c r="AI52" s="1150"/>
      <c r="AJ52" s="1158"/>
      <c r="AK52" s="1158"/>
      <c r="AL52" s="1158"/>
      <c r="AM52" s="1158"/>
      <c r="AN52" s="1158"/>
      <c r="AO52" s="1158"/>
      <c r="AP52" s="1158"/>
      <c r="AQ52" s="1158"/>
      <c r="AR52" s="1158"/>
      <c r="AS52" s="916"/>
      <c r="AT52" s="1144"/>
      <c r="AU52" s="1158" t="s">
        <v>701</v>
      </c>
      <c r="AV52" s="1158"/>
      <c r="AW52" s="1158"/>
      <c r="AX52" s="1158"/>
      <c r="AY52" s="1158"/>
      <c r="AZ52" s="1158"/>
      <c r="BA52" s="1158"/>
      <c r="BB52" s="1158"/>
      <c r="BC52" s="1144"/>
      <c r="BD52" s="1144"/>
      <c r="BE52" s="1144"/>
      <c r="BF52" s="1144"/>
      <c r="BG52" s="1144"/>
      <c r="BH52" s="1144"/>
      <c r="BI52" s="1144"/>
      <c r="BJ52" s="1144"/>
      <c r="BK52" s="1144"/>
      <c r="BL52" s="1144"/>
      <c r="BM52" s="1179" t="s">
        <v>570</v>
      </c>
      <c r="BN52" s="1181"/>
      <c r="BO52" s="1181"/>
      <c r="BP52" s="1182">
        <v>2.5000000000000001E-2</v>
      </c>
      <c r="BQ52" s="1181"/>
      <c r="BR52" s="1183"/>
      <c r="BS52" s="1148"/>
      <c r="BT52" s="1148"/>
      <c r="BU52" s="1139"/>
    </row>
    <row r="53" spans="1:73" ht="17.45" customHeight="1">
      <c r="A53" s="916"/>
      <c r="B53" s="916"/>
      <c r="C53" s="916"/>
      <c r="D53" s="916"/>
      <c r="E53" s="916"/>
      <c r="F53" s="916"/>
      <c r="G53" s="916"/>
      <c r="H53" s="916"/>
      <c r="I53" s="916"/>
      <c r="J53" s="916"/>
      <c r="K53" s="916"/>
      <c r="L53" s="916"/>
      <c r="M53" s="916"/>
      <c r="N53" s="916"/>
      <c r="O53" s="916"/>
      <c r="P53" s="916"/>
      <c r="Q53" s="916"/>
      <c r="R53" s="916"/>
      <c r="S53" s="916"/>
      <c r="T53" s="916"/>
      <c r="U53" s="916"/>
      <c r="V53" s="916"/>
      <c r="W53" s="1150"/>
      <c r="X53" s="1150"/>
      <c r="Y53" s="1150"/>
      <c r="Z53" s="1150"/>
      <c r="AA53" s="1150"/>
      <c r="AB53" s="1150"/>
      <c r="AC53" s="1150"/>
      <c r="AD53" s="1150"/>
      <c r="AE53" s="1150"/>
      <c r="AF53" s="1150"/>
      <c r="AG53" s="1150"/>
      <c r="AH53" s="1150"/>
      <c r="AI53" s="1150"/>
      <c r="AJ53" s="1158"/>
      <c r="AK53" s="1158"/>
      <c r="AL53" s="1158"/>
      <c r="AM53" s="1158"/>
      <c r="AN53" s="1158"/>
      <c r="AO53" s="1158"/>
      <c r="AP53" s="1158"/>
      <c r="AQ53" s="1158"/>
      <c r="AR53" s="1158"/>
      <c r="AS53" s="916"/>
      <c r="AT53" s="1144"/>
      <c r="AU53" s="1158" t="s">
        <v>646</v>
      </c>
      <c r="AV53" s="1158"/>
      <c r="AW53" s="1158"/>
      <c r="AX53" s="1158"/>
      <c r="AY53" s="1158"/>
      <c r="AZ53" s="1158"/>
      <c r="BA53" s="1193"/>
      <c r="BB53" s="1158"/>
      <c r="BC53" s="1144"/>
      <c r="BD53" s="1144"/>
      <c r="BE53" s="1144"/>
      <c r="BF53" s="1144"/>
      <c r="BG53" s="1144"/>
      <c r="BH53" s="1144"/>
      <c r="BI53" s="1144"/>
      <c r="BJ53" s="1144"/>
      <c r="BK53" s="1144"/>
      <c r="BL53" s="1144"/>
      <c r="BM53" s="1184" t="s">
        <v>645</v>
      </c>
      <c r="BN53" s="1185">
        <v>17.016084205549994</v>
      </c>
      <c r="BO53" s="1185">
        <v>16.143464502701271</v>
      </c>
      <c r="BP53" s="1185">
        <v>14.398225097003836</v>
      </c>
      <c r="BQ53" s="1185">
        <v>11.780365988457685</v>
      </c>
      <c r="BR53" s="1186">
        <v>11.780365988457685</v>
      </c>
      <c r="BS53" s="1148"/>
      <c r="BT53" s="1148"/>
      <c r="BU53" s="1139"/>
    </row>
    <row r="54" spans="1:73" ht="17.45" customHeight="1" thickBot="1">
      <c r="A54" s="916"/>
      <c r="B54" s="916"/>
      <c r="C54" s="916"/>
      <c r="D54" s="916"/>
      <c r="E54" s="916"/>
      <c r="F54" s="916"/>
      <c r="G54" s="916"/>
      <c r="H54" s="916"/>
      <c r="I54" s="916"/>
      <c r="J54" s="916"/>
      <c r="K54" s="916"/>
      <c r="L54" s="916"/>
      <c r="M54" s="916"/>
      <c r="N54" s="916"/>
      <c r="O54" s="916"/>
      <c r="P54" s="916"/>
      <c r="Q54" s="916"/>
      <c r="R54" s="916"/>
      <c r="S54" s="916"/>
      <c r="T54" s="916"/>
      <c r="U54" s="916"/>
      <c r="V54" s="916"/>
      <c r="W54" s="1150"/>
      <c r="X54" s="1150"/>
      <c r="Y54" s="1150"/>
      <c r="Z54" s="1150"/>
      <c r="AA54" s="1150"/>
      <c r="AB54" s="1150"/>
      <c r="AC54" s="1150"/>
      <c r="AD54" s="1150"/>
      <c r="AE54" s="1150"/>
      <c r="AF54" s="1150"/>
      <c r="AG54" s="1150"/>
      <c r="AH54" s="1150"/>
      <c r="AI54" s="1150"/>
      <c r="AJ54" s="1158"/>
      <c r="AK54" s="1158"/>
      <c r="AL54" s="1158"/>
      <c r="AM54" s="1158"/>
      <c r="AN54" s="1158"/>
      <c r="AO54" s="1158"/>
      <c r="AP54" s="1158"/>
      <c r="AQ54" s="1158"/>
      <c r="AR54" s="1158"/>
      <c r="AS54" s="916"/>
      <c r="AT54" s="1144"/>
      <c r="AU54" s="1158" t="s">
        <v>644</v>
      </c>
      <c r="AV54" s="1158"/>
      <c r="AW54" s="1158"/>
      <c r="AX54" s="1158"/>
      <c r="AY54" s="1158"/>
      <c r="AZ54" s="1158"/>
      <c r="BA54" s="1193"/>
      <c r="BB54" s="1158"/>
      <c r="BC54" s="1144"/>
      <c r="BD54" s="1144"/>
      <c r="BE54" s="1144"/>
      <c r="BF54" s="1144"/>
      <c r="BG54" s="1144"/>
      <c r="BH54" s="1144"/>
      <c r="BI54" s="1144"/>
      <c r="BJ54" s="1144"/>
      <c r="BK54" s="1144"/>
      <c r="BL54" s="1144"/>
      <c r="BM54" s="1187" t="s">
        <v>566</v>
      </c>
      <c r="BN54" s="1188">
        <v>17.016084205549994</v>
      </c>
      <c r="BO54" s="1188">
        <v>16.143464502701271</v>
      </c>
      <c r="BP54" s="1188">
        <v>14.398225097003836</v>
      </c>
      <c r="BQ54" s="1188">
        <v>11.780365988457685</v>
      </c>
      <c r="BR54" s="1189">
        <v>11.780365988457685</v>
      </c>
      <c r="BS54" s="1148"/>
      <c r="BT54" s="1148"/>
      <c r="BU54" s="1139"/>
    </row>
    <row r="55" spans="1:73" ht="17.45" customHeight="1" thickBot="1">
      <c r="A55" s="916"/>
      <c r="B55" s="916"/>
      <c r="C55" s="916"/>
      <c r="D55" s="916"/>
      <c r="E55" s="916"/>
      <c r="F55" s="916"/>
      <c r="G55" s="916"/>
      <c r="H55" s="916"/>
      <c r="I55" s="916"/>
      <c r="J55" s="916"/>
      <c r="K55" s="916"/>
      <c r="L55" s="916"/>
      <c r="M55" s="916"/>
      <c r="N55" s="916"/>
      <c r="O55" s="916"/>
      <c r="P55" s="916"/>
      <c r="Q55" s="916"/>
      <c r="R55" s="916"/>
      <c r="S55" s="916"/>
      <c r="T55" s="916"/>
      <c r="U55" s="916"/>
      <c r="V55" s="916"/>
      <c r="W55" s="1150"/>
      <c r="X55" s="1150"/>
      <c r="Y55" s="1150"/>
      <c r="Z55" s="1150"/>
      <c r="AA55" s="1150"/>
      <c r="AB55" s="1150"/>
      <c r="AC55" s="1150"/>
      <c r="AD55" s="1150"/>
      <c r="AE55" s="1150"/>
      <c r="AF55" s="1150"/>
      <c r="AG55" s="1150"/>
      <c r="AH55" s="1150"/>
      <c r="AI55" s="1150"/>
      <c r="AJ55" s="1158"/>
      <c r="AK55" s="1158"/>
      <c r="AL55" s="1158"/>
      <c r="AM55" s="1158"/>
      <c r="AN55" s="1158"/>
      <c r="AO55" s="1158"/>
      <c r="AP55" s="1158"/>
      <c r="AQ55" s="1158"/>
      <c r="AR55" s="1158"/>
      <c r="AS55" s="916"/>
      <c r="AT55" s="1144"/>
      <c r="AU55" s="1158"/>
      <c r="AV55" s="1158"/>
      <c r="AW55" s="1158"/>
      <c r="AX55" s="1158"/>
      <c r="AY55" s="1158"/>
      <c r="AZ55" s="1158"/>
      <c r="BA55" s="1193"/>
      <c r="BB55" s="1158"/>
      <c r="BC55" s="1144"/>
      <c r="BD55" s="1144"/>
      <c r="BE55" s="1144"/>
      <c r="BF55" s="1144"/>
      <c r="BG55" s="1144"/>
      <c r="BH55" s="1144"/>
      <c r="BI55" s="1144"/>
      <c r="BJ55" s="1144"/>
      <c r="BK55" s="1144"/>
      <c r="BL55" s="1144"/>
      <c r="BM55" s="1148"/>
      <c r="BN55" s="1148"/>
      <c r="BO55" s="1148"/>
      <c r="BP55" s="1148"/>
      <c r="BQ55" s="1148"/>
      <c r="BR55" s="1148"/>
      <c r="BS55" s="1148"/>
      <c r="BT55" s="1148"/>
      <c r="BU55" s="1139"/>
    </row>
    <row r="56" spans="1:73" ht="17.45" customHeight="1">
      <c r="A56" s="916"/>
      <c r="B56" s="916"/>
      <c r="C56" s="916"/>
      <c r="D56" s="916"/>
      <c r="E56" s="916"/>
      <c r="F56" s="916"/>
      <c r="G56" s="916"/>
      <c r="H56" s="916"/>
      <c r="I56" s="916"/>
      <c r="J56" s="916"/>
      <c r="K56" s="916"/>
      <c r="L56" s="916"/>
      <c r="M56" s="916"/>
      <c r="N56" s="916"/>
      <c r="O56" s="916"/>
      <c r="P56" s="916"/>
      <c r="Q56" s="916"/>
      <c r="R56" s="916"/>
      <c r="S56" s="916"/>
      <c r="T56" s="916"/>
      <c r="U56" s="916"/>
      <c r="V56" s="916"/>
      <c r="W56" s="1150"/>
      <c r="X56" s="1150"/>
      <c r="Y56" s="1150"/>
      <c r="Z56" s="1150"/>
      <c r="AA56" s="1150"/>
      <c r="AB56" s="1150"/>
      <c r="AC56" s="1150"/>
      <c r="AD56" s="1150"/>
      <c r="AE56" s="1150"/>
      <c r="AF56" s="1150"/>
      <c r="AG56" s="1150"/>
      <c r="AH56" s="1150"/>
      <c r="AI56" s="1150"/>
      <c r="AJ56" s="1193"/>
      <c r="AK56" s="1193"/>
      <c r="AL56" s="1193"/>
      <c r="AM56" s="1193"/>
      <c r="AN56" s="1193"/>
      <c r="AO56" s="1193"/>
      <c r="AP56" s="1193"/>
      <c r="AQ56" s="1193"/>
      <c r="AR56" s="1193"/>
      <c r="AS56" s="916"/>
      <c r="AT56" s="1144"/>
      <c r="AU56" s="1193" t="s">
        <v>643</v>
      </c>
      <c r="AV56" s="1193"/>
      <c r="AW56" s="1193"/>
      <c r="AX56" s="1193"/>
      <c r="AY56" s="1193"/>
      <c r="AZ56" s="1193"/>
      <c r="BA56" s="1193"/>
      <c r="BB56" s="1158"/>
      <c r="BC56" s="1144"/>
      <c r="BD56" s="1144"/>
      <c r="BE56" s="1144"/>
      <c r="BF56" s="1144"/>
      <c r="BG56" s="1144"/>
      <c r="BH56" s="1144"/>
      <c r="BI56" s="1144"/>
      <c r="BJ56" s="1144"/>
      <c r="BK56" s="1144"/>
      <c r="BL56" s="1144"/>
      <c r="BM56" s="1179" t="s">
        <v>570</v>
      </c>
      <c r="BN56" s="1181"/>
      <c r="BO56" s="1181"/>
      <c r="BP56" s="1182">
        <v>2.1999999999999999E-2</v>
      </c>
      <c r="BQ56" s="1181"/>
      <c r="BR56" s="1183"/>
      <c r="BS56" s="1148"/>
      <c r="BT56" s="1148"/>
      <c r="BU56" s="1139"/>
    </row>
    <row r="57" spans="1:73" ht="17.45" customHeight="1">
      <c r="A57" s="916"/>
      <c r="B57" s="916"/>
      <c r="C57" s="916"/>
      <c r="D57" s="916"/>
      <c r="E57" s="916"/>
      <c r="F57" s="916"/>
      <c r="G57" s="916"/>
      <c r="H57" s="916"/>
      <c r="I57" s="916"/>
      <c r="J57" s="916"/>
      <c r="K57" s="916"/>
      <c r="L57" s="916"/>
      <c r="M57" s="916"/>
      <c r="N57" s="916"/>
      <c r="O57" s="916"/>
      <c r="P57" s="916"/>
      <c r="Q57" s="916"/>
      <c r="R57" s="916"/>
      <c r="S57" s="916"/>
      <c r="T57" s="916"/>
      <c r="U57" s="916"/>
      <c r="V57" s="916"/>
      <c r="W57" s="1150"/>
      <c r="X57" s="1150"/>
      <c r="Y57" s="1150"/>
      <c r="Z57" s="1150"/>
      <c r="AA57" s="1150"/>
      <c r="AB57" s="1150"/>
      <c r="AC57" s="1150"/>
      <c r="AD57" s="1150"/>
      <c r="AE57" s="1150"/>
      <c r="AF57" s="1150"/>
      <c r="AG57" s="1150"/>
      <c r="AH57" s="1150"/>
      <c r="AI57" s="1150"/>
      <c r="AJ57" s="1193"/>
      <c r="AK57" s="1193"/>
      <c r="AL57" s="1193"/>
      <c r="AM57" s="1193"/>
      <c r="AN57" s="1193"/>
      <c r="AO57" s="1193"/>
      <c r="AP57" s="1193"/>
      <c r="AQ57" s="1193"/>
      <c r="AR57" s="1193"/>
      <c r="AS57" s="916"/>
      <c r="AT57" s="1144"/>
      <c r="AU57" s="1193" t="s">
        <v>642</v>
      </c>
      <c r="AV57" s="1193"/>
      <c r="AW57" s="1193"/>
      <c r="AX57" s="1193"/>
      <c r="AY57" s="1193"/>
      <c r="AZ57" s="1193"/>
      <c r="BA57" s="1158"/>
      <c r="BB57" s="1158"/>
      <c r="BC57" s="1144"/>
      <c r="BD57" s="1144"/>
      <c r="BE57" s="1144"/>
      <c r="BF57" s="1144"/>
      <c r="BG57" s="1144"/>
      <c r="BH57" s="1144"/>
      <c r="BI57" s="1144"/>
      <c r="BJ57" s="1144"/>
      <c r="BK57" s="1144"/>
      <c r="BL57" s="1144"/>
      <c r="BM57" s="1184" t="s">
        <v>641</v>
      </c>
      <c r="BN57" s="1185">
        <v>16.641730353027892</v>
      </c>
      <c r="BO57" s="1185">
        <v>15.788308283641843</v>
      </c>
      <c r="BP57" s="1185">
        <v>14.081464144869752</v>
      </c>
      <c r="BQ57" s="1185">
        <v>11.521197936711616</v>
      </c>
      <c r="BR57" s="1186">
        <v>11.521197936711616</v>
      </c>
      <c r="BS57" s="1148"/>
      <c r="BT57" s="1148"/>
      <c r="BU57" s="1139"/>
    </row>
    <row r="58" spans="1:73" ht="17.45" customHeight="1" thickBot="1">
      <c r="A58" s="916"/>
      <c r="B58" s="916"/>
      <c r="C58" s="916"/>
      <c r="D58" s="916"/>
      <c r="E58" s="916"/>
      <c r="F58" s="916"/>
      <c r="G58" s="916"/>
      <c r="H58" s="916"/>
      <c r="I58" s="916"/>
      <c r="J58" s="916"/>
      <c r="K58" s="916"/>
      <c r="L58" s="916"/>
      <c r="M58" s="916"/>
      <c r="N58" s="916"/>
      <c r="O58" s="916"/>
      <c r="P58" s="916"/>
      <c r="Q58" s="916"/>
      <c r="R58" s="916"/>
      <c r="S58" s="916"/>
      <c r="T58" s="916"/>
      <c r="U58" s="916"/>
      <c r="V58" s="916"/>
      <c r="W58" s="1150"/>
      <c r="X58" s="1150"/>
      <c r="Y58" s="1150"/>
      <c r="Z58" s="1150"/>
      <c r="AA58" s="1150"/>
      <c r="AB58" s="1150"/>
      <c r="AC58" s="1150"/>
      <c r="AD58" s="1150"/>
      <c r="AE58" s="1150"/>
      <c r="AF58" s="1150"/>
      <c r="AG58" s="1150"/>
      <c r="AH58" s="1150"/>
      <c r="AI58" s="1150"/>
      <c r="AJ58" s="1193"/>
      <c r="AK58" s="1193"/>
      <c r="AL58" s="1193"/>
      <c r="AM58" s="1193"/>
      <c r="AN58" s="1193"/>
      <c r="AO58" s="1193"/>
      <c r="AP58" s="1193"/>
      <c r="AQ58" s="1193"/>
      <c r="AR58" s="1193"/>
      <c r="AS58" s="916"/>
      <c r="AT58" s="1144"/>
      <c r="AU58" s="1193" t="s">
        <v>640</v>
      </c>
      <c r="AV58" s="1193"/>
      <c r="AW58" s="1193"/>
      <c r="AX58" s="1193"/>
      <c r="AY58" s="1193"/>
      <c r="AZ58" s="1193"/>
      <c r="BA58" s="1158"/>
      <c r="BB58" s="1158"/>
      <c r="BC58" s="1144"/>
      <c r="BD58" s="1144"/>
      <c r="BE58" s="1144"/>
      <c r="BF58" s="1144"/>
      <c r="BG58" s="1144"/>
      <c r="BH58" s="1144"/>
      <c r="BI58" s="1144"/>
      <c r="BJ58" s="1144"/>
      <c r="BK58" s="1144"/>
      <c r="BL58" s="1144"/>
      <c r="BM58" s="1187" t="s">
        <v>566</v>
      </c>
      <c r="BN58" s="1188">
        <v>16.641730353027892</v>
      </c>
      <c r="BO58" s="1188">
        <v>15.788308283641843</v>
      </c>
      <c r="BP58" s="1188">
        <v>14.081464144869752</v>
      </c>
      <c r="BQ58" s="1188">
        <v>11.521197936711616</v>
      </c>
      <c r="BR58" s="1189">
        <v>11.521197936711616</v>
      </c>
      <c r="BS58" s="1148"/>
      <c r="BT58" s="1148"/>
      <c r="BU58" s="1139"/>
    </row>
    <row r="59" spans="1:73" ht="17.45" customHeight="1">
      <c r="A59" s="916"/>
      <c r="B59" s="916"/>
      <c r="C59" s="916"/>
      <c r="D59" s="916"/>
      <c r="E59" s="916"/>
      <c r="F59" s="916"/>
      <c r="G59" s="916"/>
      <c r="H59" s="916"/>
      <c r="I59" s="916"/>
      <c r="J59" s="916"/>
      <c r="K59" s="916"/>
      <c r="L59" s="916"/>
      <c r="M59" s="916"/>
      <c r="N59" s="916"/>
      <c r="O59" s="916"/>
      <c r="P59" s="916"/>
      <c r="Q59" s="916"/>
      <c r="R59" s="916"/>
      <c r="S59" s="916"/>
      <c r="T59" s="916"/>
      <c r="U59" s="916"/>
      <c r="V59" s="916"/>
      <c r="W59" s="1150"/>
      <c r="X59" s="1150"/>
      <c r="Y59" s="1150"/>
      <c r="Z59" s="1150"/>
      <c r="AA59" s="1150"/>
      <c r="AB59" s="1150"/>
      <c r="AC59" s="1150"/>
      <c r="AD59" s="1150"/>
      <c r="AE59" s="1150"/>
      <c r="AF59" s="1150"/>
      <c r="AG59" s="1150"/>
      <c r="AH59" s="1150"/>
      <c r="AI59" s="1150"/>
      <c r="AJ59" s="1193"/>
      <c r="AK59" s="1193"/>
      <c r="AL59" s="1193"/>
      <c r="AM59" s="1193"/>
      <c r="AN59" s="1193"/>
      <c r="AO59" s="1193"/>
      <c r="AP59" s="1193"/>
      <c r="AQ59" s="1193"/>
      <c r="AR59" s="1193"/>
      <c r="AS59" s="916"/>
      <c r="AT59" s="1144"/>
      <c r="AU59" s="1193"/>
      <c r="AV59" s="1193"/>
      <c r="AW59" s="1193"/>
      <c r="AX59" s="1193"/>
      <c r="AY59" s="1193"/>
      <c r="AZ59" s="1193"/>
      <c r="BA59" s="1158"/>
      <c r="BB59" s="1158"/>
      <c r="BC59" s="1144"/>
      <c r="BD59" s="1144"/>
      <c r="BE59" s="1144"/>
      <c r="BF59" s="1144"/>
      <c r="BG59" s="1144"/>
      <c r="BH59" s="1144"/>
      <c r="BI59" s="1144"/>
      <c r="BJ59" s="1144"/>
      <c r="BK59" s="1144"/>
      <c r="BL59" s="1144"/>
      <c r="BM59" s="1179" t="s">
        <v>570</v>
      </c>
      <c r="BN59" s="1181"/>
      <c r="BO59" s="1181"/>
      <c r="BP59" s="1182">
        <v>2.1999999999999999E-2</v>
      </c>
      <c r="BQ59" s="1181"/>
      <c r="BR59" s="1183"/>
      <c r="BS59" s="1148"/>
      <c r="BT59" s="1148"/>
      <c r="BU59" s="1139"/>
    </row>
    <row r="60" spans="1:73" ht="17.45" customHeight="1">
      <c r="A60" s="916"/>
      <c r="B60" s="916"/>
      <c r="C60" s="916"/>
      <c r="D60" s="916"/>
      <c r="E60" s="916"/>
      <c r="F60" s="916"/>
      <c r="G60" s="916"/>
      <c r="H60" s="916"/>
      <c r="I60" s="916"/>
      <c r="J60" s="916"/>
      <c r="K60" s="916"/>
      <c r="L60" s="916"/>
      <c r="M60" s="916"/>
      <c r="N60" s="916"/>
      <c r="O60" s="916"/>
      <c r="P60" s="916"/>
      <c r="Q60" s="916"/>
      <c r="R60" s="916"/>
      <c r="S60" s="916"/>
      <c r="T60" s="916"/>
      <c r="U60" s="916"/>
      <c r="V60" s="916"/>
      <c r="W60" s="1150"/>
      <c r="X60" s="1150"/>
      <c r="Y60" s="1150"/>
      <c r="Z60" s="1150"/>
      <c r="AA60" s="1150"/>
      <c r="AB60" s="1150"/>
      <c r="AC60" s="1150"/>
      <c r="AD60" s="1150"/>
      <c r="AE60" s="1150"/>
      <c r="AF60" s="1150"/>
      <c r="AG60" s="1150"/>
      <c r="AH60" s="1150"/>
      <c r="AI60" s="1150"/>
      <c r="AJ60" s="1193"/>
      <c r="AK60" s="1193"/>
      <c r="AL60" s="1193"/>
      <c r="AM60" s="1193"/>
      <c r="AN60" s="1193"/>
      <c r="AO60" s="1193"/>
      <c r="AP60" s="1193"/>
      <c r="AQ60" s="1193"/>
      <c r="AR60" s="1193"/>
      <c r="AS60" s="916"/>
      <c r="AT60" s="1144"/>
      <c r="AU60" s="1193"/>
      <c r="AV60" s="1193"/>
      <c r="AW60" s="1193"/>
      <c r="AX60" s="1193"/>
      <c r="AY60" s="1193"/>
      <c r="AZ60" s="1193"/>
      <c r="BA60" s="1158"/>
      <c r="BB60" s="1158"/>
      <c r="BC60" s="1144"/>
      <c r="BD60" s="1144"/>
      <c r="BE60" s="1144"/>
      <c r="BF60" s="1144"/>
      <c r="BG60" s="1144"/>
      <c r="BH60" s="1144"/>
      <c r="BI60" s="1144"/>
      <c r="BJ60" s="1144"/>
      <c r="BK60" s="1144"/>
      <c r="BL60" s="1144"/>
      <c r="BM60" s="1184" t="s">
        <v>639</v>
      </c>
      <c r="BN60" s="1185">
        <v>16.275612285261278</v>
      </c>
      <c r="BO60" s="1185">
        <v>15.440965501401722</v>
      </c>
      <c r="BP60" s="1185">
        <v>13.771671933682617</v>
      </c>
      <c r="BQ60" s="1185">
        <v>11.267731582103959</v>
      </c>
      <c r="BR60" s="1186">
        <v>11.267731582103959</v>
      </c>
      <c r="BS60" s="1148"/>
      <c r="BT60" s="1148"/>
      <c r="BU60" s="1139"/>
    </row>
    <row r="61" spans="1:73" ht="17.45" customHeight="1" thickBot="1">
      <c r="A61" s="916"/>
      <c r="B61" s="916"/>
      <c r="C61" s="916"/>
      <c r="D61" s="916"/>
      <c r="E61" s="916"/>
      <c r="F61" s="916"/>
      <c r="G61" s="916"/>
      <c r="H61" s="916"/>
      <c r="I61" s="916"/>
      <c r="J61" s="916"/>
      <c r="K61" s="916"/>
      <c r="L61" s="916"/>
      <c r="M61" s="916"/>
      <c r="N61" s="916"/>
      <c r="O61" s="916"/>
      <c r="P61" s="916"/>
      <c r="Q61" s="916"/>
      <c r="R61" s="916"/>
      <c r="S61" s="916"/>
      <c r="T61" s="916"/>
      <c r="U61" s="916"/>
      <c r="V61" s="916"/>
      <c r="W61" s="1150"/>
      <c r="X61" s="1150"/>
      <c r="Y61" s="1150"/>
      <c r="Z61" s="1150"/>
      <c r="AA61" s="1150"/>
      <c r="AB61" s="1150"/>
      <c r="AC61" s="1150"/>
      <c r="AD61" s="1150"/>
      <c r="AE61" s="1150"/>
      <c r="AF61" s="1150"/>
      <c r="AG61" s="1150"/>
      <c r="AH61" s="1150"/>
      <c r="AI61" s="1150"/>
      <c r="AJ61" s="1158"/>
      <c r="AK61" s="1158"/>
      <c r="AL61" s="1158"/>
      <c r="AM61" s="1158"/>
      <c r="AN61" s="1158"/>
      <c r="AO61" s="1158"/>
      <c r="AP61" s="1158"/>
      <c r="AQ61" s="1158"/>
      <c r="AR61" s="1158"/>
      <c r="AS61" s="916"/>
      <c r="AT61" s="1144"/>
      <c r="AU61" s="1158"/>
      <c r="AV61" s="1158"/>
      <c r="AW61" s="1158"/>
      <c r="AX61" s="1158"/>
      <c r="AY61" s="1158"/>
      <c r="AZ61" s="1158"/>
      <c r="BA61" s="1158"/>
      <c r="BB61" s="1158"/>
      <c r="BC61" s="1144"/>
      <c r="BD61" s="1144"/>
      <c r="BE61" s="1144"/>
      <c r="BF61" s="1144"/>
      <c r="BG61" s="1144"/>
      <c r="BH61" s="1144"/>
      <c r="BI61" s="1144"/>
      <c r="BJ61" s="1144"/>
      <c r="BK61" s="1144"/>
      <c r="BL61" s="1144"/>
      <c r="BM61" s="1187" t="s">
        <v>566</v>
      </c>
      <c r="BN61" s="1188">
        <v>16.275612285261278</v>
      </c>
      <c r="BO61" s="1188">
        <v>15.440965501401722</v>
      </c>
      <c r="BP61" s="1188">
        <v>13.771671933682617</v>
      </c>
      <c r="BQ61" s="1188">
        <v>11.267731582103959</v>
      </c>
      <c r="BR61" s="1189">
        <v>11.267731582103959</v>
      </c>
      <c r="BS61" s="1148"/>
      <c r="BT61" s="1148"/>
      <c r="BU61" s="1139"/>
    </row>
    <row r="62" spans="1:73" ht="17.45" customHeight="1">
      <c r="A62" s="916"/>
      <c r="B62" s="916"/>
      <c r="C62" s="916"/>
      <c r="D62" s="916"/>
      <c r="E62" s="916"/>
      <c r="F62" s="916"/>
      <c r="G62" s="916"/>
      <c r="H62" s="916"/>
      <c r="I62" s="916"/>
      <c r="J62" s="916"/>
      <c r="K62" s="916"/>
      <c r="L62" s="916"/>
      <c r="M62" s="916"/>
      <c r="N62" s="916"/>
      <c r="O62" s="916"/>
      <c r="P62" s="916"/>
      <c r="Q62" s="916"/>
      <c r="R62" s="916"/>
      <c r="S62" s="916"/>
      <c r="T62" s="916"/>
      <c r="U62" s="916"/>
      <c r="V62" s="916"/>
      <c r="W62" s="1150"/>
      <c r="X62" s="1150"/>
      <c r="Y62" s="1150"/>
      <c r="Z62" s="1150"/>
      <c r="AA62" s="1150"/>
      <c r="AB62" s="1150"/>
      <c r="AC62" s="1150"/>
      <c r="AD62" s="1150"/>
      <c r="AE62" s="1150"/>
      <c r="AF62" s="1150"/>
      <c r="AG62" s="1150"/>
      <c r="AH62" s="1150"/>
      <c r="AI62" s="1150"/>
      <c r="AJ62" s="1158"/>
      <c r="AK62" s="1158"/>
      <c r="AL62" s="1158"/>
      <c r="AM62" s="1158"/>
      <c r="AN62" s="1158"/>
      <c r="AO62" s="1158"/>
      <c r="AP62" s="1158"/>
      <c r="AQ62" s="1158"/>
      <c r="AR62" s="1158"/>
      <c r="AS62" s="916"/>
      <c r="AT62" s="1144"/>
      <c r="AU62" s="1171" t="s">
        <v>638</v>
      </c>
      <c r="AV62" s="1158"/>
      <c r="AW62" s="1158"/>
      <c r="AX62" s="1158"/>
      <c r="AY62" s="1158"/>
      <c r="AZ62" s="1158"/>
      <c r="BA62" s="1158"/>
      <c r="BB62" s="1158"/>
      <c r="BC62" s="1144"/>
      <c r="BD62" s="1144"/>
      <c r="BE62" s="1144"/>
      <c r="BF62" s="1144"/>
      <c r="BG62" s="1144"/>
      <c r="BH62" s="1144"/>
      <c r="BI62" s="1144"/>
      <c r="BJ62" s="1144"/>
      <c r="BK62" s="1144"/>
      <c r="BL62" s="1144"/>
      <c r="BM62" s="1179" t="s">
        <v>570</v>
      </c>
      <c r="BN62" s="1181"/>
      <c r="BO62" s="1181"/>
      <c r="BP62" s="1182">
        <v>2.1999999999999999E-2</v>
      </c>
      <c r="BQ62" s="1181"/>
      <c r="BR62" s="1183"/>
      <c r="BS62" s="1148"/>
      <c r="BT62" s="1148"/>
      <c r="BU62" s="1139"/>
    </row>
    <row r="63" spans="1:73" ht="17.45" customHeight="1">
      <c r="A63" s="916"/>
      <c r="B63" s="916"/>
      <c r="C63" s="916"/>
      <c r="D63" s="916"/>
      <c r="E63" s="916"/>
      <c r="F63" s="916"/>
      <c r="G63" s="916"/>
      <c r="H63" s="916"/>
      <c r="I63" s="916"/>
      <c r="J63" s="916"/>
      <c r="K63" s="916"/>
      <c r="L63" s="916"/>
      <c r="M63" s="916"/>
      <c r="N63" s="916"/>
      <c r="O63" s="916"/>
      <c r="P63" s="916"/>
      <c r="Q63" s="916"/>
      <c r="R63" s="916"/>
      <c r="S63" s="916"/>
      <c r="T63" s="916"/>
      <c r="U63" s="916"/>
      <c r="V63" s="916"/>
      <c r="W63" s="1150"/>
      <c r="X63" s="1150"/>
      <c r="Y63" s="1150"/>
      <c r="Z63" s="1150"/>
      <c r="AA63" s="1150"/>
      <c r="AB63" s="1150"/>
      <c r="AC63" s="1150"/>
      <c r="AD63" s="1150"/>
      <c r="AE63" s="1150"/>
      <c r="AF63" s="1150"/>
      <c r="AG63" s="1150"/>
      <c r="AH63" s="1150"/>
      <c r="AI63" s="1150"/>
      <c r="AJ63" s="1158"/>
      <c r="AK63" s="1158"/>
      <c r="AL63" s="1158"/>
      <c r="AM63" s="1158"/>
      <c r="AN63" s="1158"/>
      <c r="AO63" s="1158"/>
      <c r="AP63" s="1158"/>
      <c r="AQ63" s="1158"/>
      <c r="AR63" s="1158"/>
      <c r="AS63" s="916"/>
      <c r="AT63" s="1144"/>
      <c r="AU63" s="1158" t="s">
        <v>955</v>
      </c>
      <c r="AV63" s="1158"/>
      <c r="AW63" s="1158"/>
      <c r="AX63" s="1158"/>
      <c r="AY63" s="1158"/>
      <c r="AZ63" s="1158"/>
      <c r="BA63" s="1158"/>
      <c r="BB63" s="1158"/>
      <c r="BC63" s="1144"/>
      <c r="BD63" s="1144"/>
      <c r="BE63" s="1144"/>
      <c r="BF63" s="1144"/>
      <c r="BG63" s="1144"/>
      <c r="BH63" s="1144"/>
      <c r="BI63" s="1144"/>
      <c r="BJ63" s="1144"/>
      <c r="BK63" s="1144"/>
      <c r="BL63" s="1144"/>
      <c r="BM63" s="1184" t="s">
        <v>637</v>
      </c>
      <c r="BN63" s="1185">
        <v>15.91754881498553</v>
      </c>
      <c r="BO63" s="1185">
        <v>15.101264260370884</v>
      </c>
      <c r="BP63" s="1185">
        <v>13.468695151141599</v>
      </c>
      <c r="BQ63" s="1185">
        <v>11.019841487297672</v>
      </c>
      <c r="BR63" s="1186">
        <v>11.019841487297672</v>
      </c>
      <c r="BS63" s="1148"/>
      <c r="BT63" s="1148"/>
      <c r="BU63" s="1139"/>
    </row>
    <row r="64" spans="1:73" ht="17.45" customHeight="1" thickBot="1">
      <c r="A64" s="916"/>
      <c r="B64" s="916"/>
      <c r="C64" s="916"/>
      <c r="D64" s="916"/>
      <c r="E64" s="916"/>
      <c r="F64" s="916"/>
      <c r="G64" s="916"/>
      <c r="H64" s="916"/>
      <c r="I64" s="916"/>
      <c r="J64" s="916"/>
      <c r="K64" s="916"/>
      <c r="L64" s="916"/>
      <c r="M64" s="916"/>
      <c r="N64" s="916"/>
      <c r="O64" s="916"/>
      <c r="P64" s="916"/>
      <c r="Q64" s="916"/>
      <c r="R64" s="916"/>
      <c r="S64" s="916"/>
      <c r="T64" s="916"/>
      <c r="U64" s="916"/>
      <c r="V64" s="916"/>
      <c r="W64" s="1150"/>
      <c r="X64" s="1150"/>
      <c r="Y64" s="1150"/>
      <c r="Z64" s="1150"/>
      <c r="AA64" s="1150"/>
      <c r="AB64" s="1150"/>
      <c r="AC64" s="1150"/>
      <c r="AD64" s="1150"/>
      <c r="AE64" s="1150"/>
      <c r="AF64" s="1150"/>
      <c r="AG64" s="1150"/>
      <c r="AH64" s="1150"/>
      <c r="AI64" s="1150"/>
      <c r="AJ64" s="1158"/>
      <c r="AK64" s="1158"/>
      <c r="AL64" s="1158"/>
      <c r="AM64" s="1158"/>
      <c r="AN64" s="1158"/>
      <c r="AO64" s="1158"/>
      <c r="AP64" s="1158"/>
      <c r="AQ64" s="1158"/>
      <c r="AR64" s="1158"/>
      <c r="AS64" s="916"/>
      <c r="AT64" s="1144"/>
      <c r="AU64" s="1158" t="s">
        <v>956</v>
      </c>
      <c r="AV64" s="1158"/>
      <c r="AW64" s="1158"/>
      <c r="AX64" s="1158"/>
      <c r="AY64" s="1158"/>
      <c r="AZ64" s="1158"/>
      <c r="BA64" s="1158"/>
      <c r="BB64" s="1158"/>
      <c r="BC64" s="1144"/>
      <c r="BD64" s="1144"/>
      <c r="BE64" s="1144"/>
      <c r="BF64" s="1144"/>
      <c r="BG64" s="1144"/>
      <c r="BH64" s="1144"/>
      <c r="BI64" s="1144"/>
      <c r="BJ64" s="1144"/>
      <c r="BK64" s="1144"/>
      <c r="BL64" s="1144"/>
      <c r="BM64" s="1187" t="s">
        <v>566</v>
      </c>
      <c r="BN64" s="1188">
        <v>15.91754881498553</v>
      </c>
      <c r="BO64" s="1188">
        <v>15.101264260370884</v>
      </c>
      <c r="BP64" s="1188">
        <v>13.468695151141599</v>
      </c>
      <c r="BQ64" s="1188">
        <v>11.019841487297672</v>
      </c>
      <c r="BR64" s="1189">
        <v>11.019841487297672</v>
      </c>
      <c r="BS64" s="1148"/>
      <c r="BT64" s="1148"/>
      <c r="BU64" s="1139"/>
    </row>
    <row r="65" spans="1:73" ht="17.45" customHeight="1" thickBot="1">
      <c r="A65" s="916"/>
      <c r="B65" s="916"/>
      <c r="C65" s="916"/>
      <c r="D65" s="916"/>
      <c r="E65" s="916"/>
      <c r="F65" s="916"/>
      <c r="G65" s="916"/>
      <c r="H65" s="916"/>
      <c r="I65" s="916"/>
      <c r="J65" s="916"/>
      <c r="K65" s="916"/>
      <c r="L65" s="916"/>
      <c r="M65" s="916"/>
      <c r="N65" s="916"/>
      <c r="O65" s="916"/>
      <c r="P65" s="916"/>
      <c r="Q65" s="916"/>
      <c r="R65" s="916"/>
      <c r="S65" s="916"/>
      <c r="T65" s="916"/>
      <c r="U65" s="916"/>
      <c r="V65" s="916"/>
      <c r="W65" s="1150"/>
      <c r="X65" s="1150"/>
      <c r="Y65" s="1150"/>
      <c r="Z65" s="1150"/>
      <c r="AA65" s="1150"/>
      <c r="AB65" s="1150"/>
      <c r="AC65" s="1150"/>
      <c r="AD65" s="1150"/>
      <c r="AE65" s="1150"/>
      <c r="AF65" s="1150"/>
      <c r="AG65" s="1150"/>
      <c r="AH65" s="1150"/>
      <c r="AI65" s="1150"/>
      <c r="AJ65" s="1158"/>
      <c r="AK65" s="1158"/>
      <c r="AL65" s="1158"/>
      <c r="AM65" s="1158"/>
      <c r="AN65" s="1158"/>
      <c r="AO65" s="1158"/>
      <c r="AP65" s="1158"/>
      <c r="AQ65" s="1158"/>
      <c r="AR65" s="1158"/>
      <c r="AS65" s="916"/>
      <c r="AT65" s="1144"/>
      <c r="AU65" s="1158"/>
      <c r="AV65" s="1158"/>
      <c r="AW65" s="1158"/>
      <c r="AX65" s="1158"/>
      <c r="AY65" s="1158"/>
      <c r="AZ65" s="1158"/>
      <c r="BA65" s="1158"/>
      <c r="BB65" s="1158"/>
      <c r="BC65" s="1144"/>
      <c r="BD65" s="1144"/>
      <c r="BE65" s="1144"/>
      <c r="BF65" s="1144"/>
      <c r="BG65" s="1144"/>
      <c r="BH65" s="1144"/>
      <c r="BI65" s="1144"/>
      <c r="BJ65" s="1144"/>
      <c r="BK65" s="1144"/>
      <c r="BL65" s="1144"/>
      <c r="BM65" s="1148"/>
      <c r="BN65" s="1148"/>
      <c r="BO65" s="1148"/>
      <c r="BP65" s="1148"/>
      <c r="BQ65" s="1148"/>
      <c r="BR65" s="1148"/>
      <c r="BS65" s="1148"/>
      <c r="BT65" s="1148"/>
      <c r="BU65" s="1139"/>
    </row>
    <row r="66" spans="1:73" ht="17.45" customHeight="1">
      <c r="A66" s="916"/>
      <c r="B66" s="916"/>
      <c r="C66" s="916"/>
      <c r="D66" s="916"/>
      <c r="E66" s="916"/>
      <c r="F66" s="916"/>
      <c r="G66" s="916"/>
      <c r="H66" s="916"/>
      <c r="I66" s="916"/>
      <c r="J66" s="916"/>
      <c r="K66" s="916"/>
      <c r="L66" s="916"/>
      <c r="M66" s="916"/>
      <c r="N66" s="916"/>
      <c r="O66" s="916"/>
      <c r="P66" s="916"/>
      <c r="Q66" s="916"/>
      <c r="R66" s="916"/>
      <c r="S66" s="916"/>
      <c r="T66" s="916"/>
      <c r="U66" s="916"/>
      <c r="V66" s="916"/>
      <c r="W66" s="1150"/>
      <c r="X66" s="1150"/>
      <c r="Y66" s="1150"/>
      <c r="Z66" s="1150"/>
      <c r="AA66" s="1150"/>
      <c r="AB66" s="1150"/>
      <c r="AC66" s="1150"/>
      <c r="AD66" s="1150"/>
      <c r="AE66" s="1150"/>
      <c r="AF66" s="1150"/>
      <c r="AG66" s="1150"/>
      <c r="AH66" s="1150"/>
      <c r="AI66" s="1150"/>
      <c r="AJ66" s="1158"/>
      <c r="AK66" s="1158"/>
      <c r="AL66" s="1158"/>
      <c r="AM66" s="1158"/>
      <c r="AN66" s="1158"/>
      <c r="AO66" s="1158"/>
      <c r="AP66" s="1158"/>
      <c r="AQ66" s="1158"/>
      <c r="AR66" s="1158"/>
      <c r="AS66" s="916"/>
      <c r="AT66" s="1144"/>
      <c r="AU66" s="1171" t="s">
        <v>957</v>
      </c>
      <c r="AV66" s="1158"/>
      <c r="AW66" s="1158"/>
      <c r="AX66" s="1158"/>
      <c r="AY66" s="1158"/>
      <c r="AZ66" s="1158"/>
      <c r="BA66" s="1158"/>
      <c r="BB66" s="1158"/>
      <c r="BC66" s="1144"/>
      <c r="BD66" s="1144"/>
      <c r="BE66" s="1144"/>
      <c r="BF66" s="1144"/>
      <c r="BG66" s="1144"/>
      <c r="BH66" s="1144"/>
      <c r="BI66" s="1144"/>
      <c r="BJ66" s="1144"/>
      <c r="BK66" s="1144"/>
      <c r="BL66" s="1144"/>
      <c r="BM66" s="1179" t="s">
        <v>570</v>
      </c>
      <c r="BN66" s="1181"/>
      <c r="BO66" s="1181"/>
      <c r="BP66" s="1182">
        <v>1.7999999999999999E-2</v>
      </c>
      <c r="BQ66" s="1181"/>
      <c r="BR66" s="1183"/>
      <c r="BS66" s="1148"/>
      <c r="BT66" s="1148"/>
      <c r="BU66" s="1139"/>
    </row>
    <row r="67" spans="1:73" ht="17.45" customHeight="1">
      <c r="A67" s="916"/>
      <c r="B67" s="916"/>
      <c r="C67" s="916"/>
      <c r="D67" s="916"/>
      <c r="E67" s="916"/>
      <c r="F67" s="916"/>
      <c r="G67" s="916"/>
      <c r="H67" s="916"/>
      <c r="I67" s="916"/>
      <c r="J67" s="916"/>
      <c r="K67" s="916"/>
      <c r="L67" s="916"/>
      <c r="M67" s="916"/>
      <c r="N67" s="916"/>
      <c r="O67" s="916"/>
      <c r="P67" s="916"/>
      <c r="Q67" s="916"/>
      <c r="R67" s="916"/>
      <c r="S67" s="916"/>
      <c r="T67" s="916"/>
      <c r="U67" s="916"/>
      <c r="V67" s="916"/>
      <c r="W67" s="1150"/>
      <c r="X67" s="1150"/>
      <c r="Y67" s="1150"/>
      <c r="Z67" s="1150"/>
      <c r="AA67" s="1150"/>
      <c r="AB67" s="1150"/>
      <c r="AC67" s="1150"/>
      <c r="AD67" s="1150"/>
      <c r="AE67" s="1150"/>
      <c r="AF67" s="1150"/>
      <c r="AG67" s="1150"/>
      <c r="AH67" s="1150"/>
      <c r="AI67" s="1150"/>
      <c r="AJ67" s="1158"/>
      <c r="AK67" s="1158"/>
      <c r="AL67" s="1158"/>
      <c r="AM67" s="1158"/>
      <c r="AN67" s="1158"/>
      <c r="AO67" s="1158"/>
      <c r="AP67" s="1158"/>
      <c r="AQ67" s="1158"/>
      <c r="AR67" s="1158"/>
      <c r="AS67" s="916"/>
      <c r="AT67" s="1144"/>
      <c r="AU67" s="1158" t="s">
        <v>636</v>
      </c>
      <c r="AV67" s="1158"/>
      <c r="AW67" s="1158"/>
      <c r="AX67" s="1158"/>
      <c r="AY67" s="1158"/>
      <c r="AZ67" s="1158"/>
      <c r="BA67" s="1158"/>
      <c r="BB67" s="1158"/>
      <c r="BC67" s="1144"/>
      <c r="BD67" s="1144"/>
      <c r="BE67" s="1144"/>
      <c r="BF67" s="1144"/>
      <c r="BG67" s="1144"/>
      <c r="BH67" s="1144"/>
      <c r="BI67" s="1144"/>
      <c r="BJ67" s="1144"/>
      <c r="BK67" s="1144"/>
      <c r="BL67" s="1144"/>
      <c r="BM67" s="1184" t="s">
        <v>635</v>
      </c>
      <c r="BN67" s="1185">
        <v>15.63103293631579</v>
      </c>
      <c r="BO67" s="1185">
        <v>14.829441503684208</v>
      </c>
      <c r="BP67" s="1185">
        <v>13.226258638421051</v>
      </c>
      <c r="BQ67" s="1185">
        <v>10.821484340526315</v>
      </c>
      <c r="BR67" s="1186">
        <v>10.821484340526315</v>
      </c>
      <c r="BS67" s="1148"/>
      <c r="BT67" s="1148"/>
      <c r="BU67" s="1139"/>
    </row>
    <row r="68" spans="1:73" ht="17.45" customHeight="1" thickBot="1">
      <c r="A68" s="916"/>
      <c r="B68" s="916"/>
      <c r="C68" s="916"/>
      <c r="D68" s="916"/>
      <c r="E68" s="916"/>
      <c r="F68" s="916"/>
      <c r="G68" s="916"/>
      <c r="H68" s="916"/>
      <c r="I68" s="916"/>
      <c r="J68" s="916"/>
      <c r="K68" s="916"/>
      <c r="L68" s="916"/>
      <c r="M68" s="916"/>
      <c r="N68" s="916"/>
      <c r="O68" s="916"/>
      <c r="P68" s="916"/>
      <c r="Q68" s="916"/>
      <c r="R68" s="916"/>
      <c r="S68" s="916"/>
      <c r="T68" s="916"/>
      <c r="U68" s="916"/>
      <c r="V68" s="916"/>
      <c r="W68" s="1150"/>
      <c r="X68" s="1150"/>
      <c r="Y68" s="1150"/>
      <c r="Z68" s="1150"/>
      <c r="AA68" s="1150"/>
      <c r="AB68" s="1150"/>
      <c r="AC68" s="1150"/>
      <c r="AD68" s="1150"/>
      <c r="AE68" s="1150"/>
      <c r="AF68" s="1150"/>
      <c r="AG68" s="1150"/>
      <c r="AH68" s="1150"/>
      <c r="AI68" s="1150"/>
      <c r="AJ68" s="1158"/>
      <c r="AK68" s="1158"/>
      <c r="AL68" s="1158"/>
      <c r="AM68" s="1158"/>
      <c r="AN68" s="1158"/>
      <c r="AO68" s="1158"/>
      <c r="AP68" s="1158"/>
      <c r="AQ68" s="1158"/>
      <c r="AR68" s="1158"/>
      <c r="AS68" s="916"/>
      <c r="AT68" s="1144"/>
      <c r="AU68" s="1158" t="s">
        <v>958</v>
      </c>
      <c r="AV68" s="1158"/>
      <c r="AW68" s="1158"/>
      <c r="AX68" s="1158"/>
      <c r="AY68" s="1158"/>
      <c r="AZ68" s="1158"/>
      <c r="BA68" s="1158"/>
      <c r="BB68" s="1158"/>
      <c r="BC68" s="1144"/>
      <c r="BD68" s="1144"/>
      <c r="BE68" s="1144"/>
      <c r="BF68" s="1144"/>
      <c r="BG68" s="1144"/>
      <c r="BH68" s="1144"/>
      <c r="BI68" s="1144"/>
      <c r="BJ68" s="1144"/>
      <c r="BK68" s="1144"/>
      <c r="BL68" s="1144"/>
      <c r="BM68" s="1187" t="s">
        <v>566</v>
      </c>
      <c r="BN68" s="1188">
        <v>15.63103293631579</v>
      </c>
      <c r="BO68" s="1188">
        <v>14.829441503684208</v>
      </c>
      <c r="BP68" s="1188">
        <v>13.226258638421051</v>
      </c>
      <c r="BQ68" s="1188">
        <v>10.821484340526315</v>
      </c>
      <c r="BR68" s="1189">
        <v>10.821484340526315</v>
      </c>
      <c r="BS68" s="1148"/>
      <c r="BT68" s="1148"/>
      <c r="BU68" s="1139"/>
    </row>
    <row r="69" spans="1:73" ht="17.45" customHeight="1">
      <c r="A69" s="916"/>
      <c r="B69" s="916"/>
      <c r="C69" s="916"/>
      <c r="D69" s="916"/>
      <c r="E69" s="916"/>
      <c r="F69" s="916"/>
      <c r="G69" s="916"/>
      <c r="H69" s="916"/>
      <c r="I69" s="916"/>
      <c r="J69" s="916"/>
      <c r="K69" s="916"/>
      <c r="L69" s="916"/>
      <c r="M69" s="916"/>
      <c r="N69" s="916"/>
      <c r="O69" s="916"/>
      <c r="P69" s="916"/>
      <c r="Q69" s="916"/>
      <c r="R69" s="916"/>
      <c r="S69" s="916"/>
      <c r="T69" s="916"/>
      <c r="U69" s="916"/>
      <c r="V69" s="916"/>
      <c r="W69" s="1150"/>
      <c r="X69" s="1150"/>
      <c r="Y69" s="1150"/>
      <c r="Z69" s="1150"/>
      <c r="AA69" s="1150"/>
      <c r="AB69" s="1150"/>
      <c r="AC69" s="1150"/>
      <c r="AD69" s="1150"/>
      <c r="AE69" s="1150"/>
      <c r="AF69" s="1150"/>
      <c r="AG69" s="1150"/>
      <c r="AH69" s="1150"/>
      <c r="AI69" s="1150"/>
      <c r="AJ69" s="1158"/>
      <c r="AK69" s="1158"/>
      <c r="AL69" s="1158"/>
      <c r="AM69" s="1158"/>
      <c r="AN69" s="1158"/>
      <c r="AO69" s="1158"/>
      <c r="AP69" s="1158"/>
      <c r="AQ69" s="1158"/>
      <c r="AR69" s="1158"/>
      <c r="AS69" s="916"/>
      <c r="AT69" s="1144"/>
      <c r="AU69" s="1158"/>
      <c r="AV69" s="1158"/>
      <c r="AW69" s="1158"/>
      <c r="AX69" s="1158"/>
      <c r="AY69" s="1158"/>
      <c r="AZ69" s="1158"/>
      <c r="BA69" s="1158"/>
      <c r="BB69" s="1158"/>
      <c r="BC69" s="1144"/>
      <c r="BD69" s="1144"/>
      <c r="BE69" s="1144"/>
      <c r="BF69" s="1144"/>
      <c r="BG69" s="1144"/>
      <c r="BH69" s="1144"/>
      <c r="BI69" s="1144"/>
      <c r="BJ69" s="1144"/>
      <c r="BK69" s="1144"/>
      <c r="BL69" s="1144"/>
      <c r="BM69" s="1179" t="s">
        <v>570</v>
      </c>
      <c r="BN69" s="1181"/>
      <c r="BO69" s="1181"/>
      <c r="BP69" s="1182">
        <v>1.7999999999999999E-2</v>
      </c>
      <c r="BQ69" s="1181"/>
      <c r="BR69" s="1183"/>
      <c r="BS69" s="1148"/>
      <c r="BT69" s="1148"/>
      <c r="BU69" s="1139"/>
    </row>
    <row r="70" spans="1:73" ht="17.45" customHeight="1">
      <c r="A70" s="916"/>
      <c r="B70" s="916"/>
      <c r="C70" s="916"/>
      <c r="D70" s="916"/>
      <c r="E70" s="916"/>
      <c r="F70" s="916"/>
      <c r="G70" s="916"/>
      <c r="H70" s="916"/>
      <c r="I70" s="916"/>
      <c r="J70" s="916"/>
      <c r="K70" s="916"/>
      <c r="L70" s="916"/>
      <c r="M70" s="916"/>
      <c r="N70" s="916"/>
      <c r="O70" s="916"/>
      <c r="P70" s="916"/>
      <c r="Q70" s="916"/>
      <c r="R70" s="916"/>
      <c r="S70" s="916"/>
      <c r="T70" s="916"/>
      <c r="U70" s="916"/>
      <c r="V70" s="916"/>
      <c r="W70" s="1150"/>
      <c r="X70" s="1150"/>
      <c r="Y70" s="1150"/>
      <c r="Z70" s="1150"/>
      <c r="AA70" s="1150"/>
      <c r="AB70" s="1150"/>
      <c r="AC70" s="1150"/>
      <c r="AD70" s="1150"/>
      <c r="AE70" s="1150"/>
      <c r="AF70" s="1150"/>
      <c r="AG70" s="1150"/>
      <c r="AH70" s="1150"/>
      <c r="AI70" s="1150"/>
      <c r="AJ70" s="1158"/>
      <c r="AK70" s="1158"/>
      <c r="AL70" s="1158"/>
      <c r="AM70" s="1158"/>
      <c r="AN70" s="1158"/>
      <c r="AO70" s="1158"/>
      <c r="AP70" s="1158"/>
      <c r="AQ70" s="1158"/>
      <c r="AR70" s="1158"/>
      <c r="AS70" s="916"/>
      <c r="AT70" s="1144"/>
      <c r="AU70" s="1174" t="s">
        <v>959</v>
      </c>
      <c r="AV70" s="1158"/>
      <c r="AW70" s="1158"/>
      <c r="AX70" s="1158"/>
      <c r="AY70" s="1158"/>
      <c r="AZ70" s="1158"/>
      <c r="BA70" s="1158"/>
      <c r="BB70" s="1158"/>
      <c r="BC70" s="1144"/>
      <c r="BD70" s="1144"/>
      <c r="BE70" s="1144"/>
      <c r="BF70" s="1144"/>
      <c r="BG70" s="1144"/>
      <c r="BH70" s="1144"/>
      <c r="BI70" s="1144"/>
      <c r="BJ70" s="1144"/>
      <c r="BK70" s="1144"/>
      <c r="BL70" s="1144"/>
      <c r="BM70" s="1184" t="s">
        <v>634</v>
      </c>
      <c r="BN70" s="1185">
        <v>15.349674343462105</v>
      </c>
      <c r="BO70" s="1185">
        <v>14.562511556617892</v>
      </c>
      <c r="BP70" s="1185">
        <v>12.988185982929471</v>
      </c>
      <c r="BQ70" s="1185">
        <v>10.62669762239684</v>
      </c>
      <c r="BR70" s="1186">
        <v>10.62669762239684</v>
      </c>
      <c r="BS70" s="1148"/>
      <c r="BT70" s="1148"/>
      <c r="BU70" s="1139"/>
    </row>
    <row r="71" spans="1:73" ht="17.45" customHeight="1" thickBot="1">
      <c r="A71" s="916"/>
      <c r="B71" s="916"/>
      <c r="C71" s="916"/>
      <c r="D71" s="916"/>
      <c r="E71" s="916"/>
      <c r="F71" s="916"/>
      <c r="G71" s="916"/>
      <c r="H71" s="916"/>
      <c r="I71" s="916"/>
      <c r="J71" s="916"/>
      <c r="K71" s="916"/>
      <c r="L71" s="916"/>
      <c r="M71" s="916"/>
      <c r="N71" s="916"/>
      <c r="O71" s="916"/>
      <c r="P71" s="916"/>
      <c r="Q71" s="916"/>
      <c r="R71" s="916"/>
      <c r="S71" s="916"/>
      <c r="T71" s="916"/>
      <c r="U71" s="916"/>
      <c r="V71" s="916"/>
      <c r="W71" s="1150"/>
      <c r="X71" s="1150"/>
      <c r="Y71" s="1150"/>
      <c r="Z71" s="1150"/>
      <c r="AA71" s="1150"/>
      <c r="AB71" s="1150"/>
      <c r="AC71" s="1150"/>
      <c r="AD71" s="1150"/>
      <c r="AE71" s="1150"/>
      <c r="AF71" s="1150"/>
      <c r="AG71" s="1150"/>
      <c r="AH71" s="1150"/>
      <c r="AI71" s="1150"/>
      <c r="AJ71" s="1158"/>
      <c r="AK71" s="1158"/>
      <c r="AL71" s="1158"/>
      <c r="AM71" s="1158"/>
      <c r="AN71" s="1158"/>
      <c r="AO71" s="1158"/>
      <c r="AP71" s="1158"/>
      <c r="AQ71" s="1158"/>
      <c r="AR71" s="1158"/>
      <c r="AS71" s="916"/>
      <c r="AT71" s="1144"/>
      <c r="AU71" s="1158" t="s">
        <v>960</v>
      </c>
      <c r="AV71" s="1158"/>
      <c r="AW71" s="1158"/>
      <c r="AX71" s="1158"/>
      <c r="AY71" s="1158"/>
      <c r="AZ71" s="1158"/>
      <c r="BA71" s="1158"/>
      <c r="BB71" s="1158"/>
      <c r="BC71" s="1144"/>
      <c r="BD71" s="1144"/>
      <c r="BE71" s="1144"/>
      <c r="BF71" s="1144"/>
      <c r="BG71" s="1144"/>
      <c r="BH71" s="1144"/>
      <c r="BI71" s="1144"/>
      <c r="BJ71" s="1144"/>
      <c r="BK71" s="1144"/>
      <c r="BL71" s="1144"/>
      <c r="BM71" s="1187" t="s">
        <v>566</v>
      </c>
      <c r="BN71" s="1188">
        <v>15.349674343462105</v>
      </c>
      <c r="BO71" s="1188">
        <v>14.562511556617892</v>
      </c>
      <c r="BP71" s="1188">
        <v>12.988185982929471</v>
      </c>
      <c r="BQ71" s="1188">
        <v>10.62669762239684</v>
      </c>
      <c r="BR71" s="1189">
        <v>10.62669762239684</v>
      </c>
      <c r="BS71" s="1148"/>
      <c r="BT71" s="1148"/>
      <c r="BU71" s="1139"/>
    </row>
    <row r="72" spans="1:73" ht="17.45" customHeight="1">
      <c r="A72" s="916"/>
      <c r="B72" s="916"/>
      <c r="C72" s="916"/>
      <c r="D72" s="916"/>
      <c r="E72" s="916"/>
      <c r="F72" s="916"/>
      <c r="G72" s="916"/>
      <c r="H72" s="916"/>
      <c r="I72" s="916"/>
      <c r="J72" s="916"/>
      <c r="K72" s="916"/>
      <c r="L72" s="916"/>
      <c r="M72" s="916"/>
      <c r="N72" s="916"/>
      <c r="O72" s="916"/>
      <c r="P72" s="916"/>
      <c r="Q72" s="916"/>
      <c r="R72" s="916"/>
      <c r="S72" s="916"/>
      <c r="T72" s="916"/>
      <c r="U72" s="916"/>
      <c r="V72" s="916"/>
      <c r="W72" s="1150"/>
      <c r="X72" s="1150"/>
      <c r="Y72" s="1150"/>
      <c r="Z72" s="1150"/>
      <c r="AA72" s="1150"/>
      <c r="AB72" s="1150"/>
      <c r="AC72" s="1150"/>
      <c r="AD72" s="1150"/>
      <c r="AE72" s="1150"/>
      <c r="AF72" s="1150"/>
      <c r="AG72" s="1150"/>
      <c r="AH72" s="1150"/>
      <c r="AI72" s="1150"/>
      <c r="AJ72" s="1158"/>
      <c r="AK72" s="1158"/>
      <c r="AL72" s="1158"/>
      <c r="AM72" s="1158"/>
      <c r="AN72" s="1158"/>
      <c r="AO72" s="1158"/>
      <c r="AP72" s="1158"/>
      <c r="AQ72" s="1158"/>
      <c r="AR72" s="1158"/>
      <c r="AS72" s="916"/>
      <c r="AT72" s="1144"/>
      <c r="AU72" s="1158" t="s">
        <v>961</v>
      </c>
      <c r="AV72" s="1158"/>
      <c r="AW72" s="1158"/>
      <c r="AX72" s="1158"/>
      <c r="AY72" s="1158"/>
      <c r="AZ72" s="1158"/>
      <c r="BA72" s="1158"/>
      <c r="BB72" s="1158"/>
      <c r="BC72" s="1144"/>
      <c r="BD72" s="1144"/>
      <c r="BE72" s="1144"/>
      <c r="BF72" s="1144"/>
      <c r="BG72" s="1144"/>
      <c r="BH72" s="1144"/>
      <c r="BI72" s="1144"/>
      <c r="BJ72" s="1144"/>
      <c r="BK72" s="1144"/>
      <c r="BL72" s="1144"/>
      <c r="BM72" s="1179" t="s">
        <v>570</v>
      </c>
      <c r="BN72" s="1181"/>
      <c r="BO72" s="1181"/>
      <c r="BP72" s="1182">
        <v>1.7999999999999999E-2</v>
      </c>
      <c r="BQ72" s="1181"/>
      <c r="BR72" s="1183"/>
      <c r="BS72" s="1148"/>
      <c r="BT72" s="1148"/>
      <c r="BU72" s="1139"/>
    </row>
    <row r="73" spans="1:73" ht="17.45" customHeight="1">
      <c r="A73" s="916"/>
      <c r="B73" s="916"/>
      <c r="C73" s="916"/>
      <c r="D73" s="916"/>
      <c r="E73" s="916"/>
      <c r="F73" s="916"/>
      <c r="G73" s="916"/>
      <c r="H73" s="916"/>
      <c r="I73" s="916"/>
      <c r="J73" s="916"/>
      <c r="K73" s="916"/>
      <c r="L73" s="916"/>
      <c r="M73" s="916"/>
      <c r="N73" s="916"/>
      <c r="O73" s="916"/>
      <c r="P73" s="916"/>
      <c r="Q73" s="916"/>
      <c r="R73" s="916"/>
      <c r="S73" s="916"/>
      <c r="T73" s="916"/>
      <c r="U73" s="916"/>
      <c r="V73" s="916"/>
      <c r="W73" s="1150"/>
      <c r="X73" s="1150"/>
      <c r="Y73" s="1150"/>
      <c r="Z73" s="1150"/>
      <c r="AA73" s="1150"/>
      <c r="AB73" s="1150"/>
      <c r="AC73" s="1150"/>
      <c r="AD73" s="1150"/>
      <c r="AE73" s="1150"/>
      <c r="AF73" s="1150"/>
      <c r="AG73" s="1150"/>
      <c r="AH73" s="1150"/>
      <c r="AI73" s="1150"/>
      <c r="AJ73" s="1158"/>
      <c r="AK73" s="1158"/>
      <c r="AL73" s="1158"/>
      <c r="AM73" s="1158"/>
      <c r="AN73" s="1158"/>
      <c r="AO73" s="1158"/>
      <c r="AP73" s="1158"/>
      <c r="AQ73" s="1158"/>
      <c r="AR73" s="1158"/>
      <c r="AS73" s="916"/>
      <c r="AT73" s="1144"/>
      <c r="AU73" s="1158" t="s">
        <v>962</v>
      </c>
      <c r="AV73" s="1158"/>
      <c r="AW73" s="1158"/>
      <c r="AX73" s="1158"/>
      <c r="AY73" s="1158"/>
      <c r="AZ73" s="1158"/>
      <c r="BA73" s="1158"/>
      <c r="BB73" s="1158"/>
      <c r="BC73" s="1144"/>
      <c r="BD73" s="1144"/>
      <c r="BE73" s="1144"/>
      <c r="BF73" s="1144"/>
      <c r="BG73" s="1144"/>
      <c r="BH73" s="1144"/>
      <c r="BI73" s="1144"/>
      <c r="BJ73" s="1144"/>
      <c r="BK73" s="1144"/>
      <c r="BL73" s="1144"/>
      <c r="BM73" s="1184"/>
      <c r="BN73" s="1194"/>
      <c r="BO73" s="1194"/>
      <c r="BP73" s="1195"/>
      <c r="BQ73" s="1194"/>
      <c r="BR73" s="1196"/>
      <c r="BS73" s="1148"/>
      <c r="BT73" s="1148"/>
      <c r="BU73" s="1139"/>
    </row>
    <row r="74" spans="1:73" ht="17.45" customHeight="1">
      <c r="A74" s="916"/>
      <c r="B74" s="916"/>
      <c r="C74" s="916"/>
      <c r="D74" s="916"/>
      <c r="E74" s="916"/>
      <c r="F74" s="916"/>
      <c r="G74" s="916"/>
      <c r="H74" s="916"/>
      <c r="I74" s="916"/>
      <c r="J74" s="916"/>
      <c r="K74" s="916"/>
      <c r="L74" s="916"/>
      <c r="M74" s="916"/>
      <c r="N74" s="916"/>
      <c r="O74" s="916"/>
      <c r="P74" s="916"/>
      <c r="Q74" s="916"/>
      <c r="R74" s="916"/>
      <c r="S74" s="916"/>
      <c r="T74" s="916"/>
      <c r="U74" s="916"/>
      <c r="V74" s="916"/>
      <c r="W74" s="1150"/>
      <c r="X74" s="1150"/>
      <c r="Y74" s="1150"/>
      <c r="Z74" s="1150"/>
      <c r="AA74" s="1150"/>
      <c r="AB74" s="1150"/>
      <c r="AC74" s="1150"/>
      <c r="AD74" s="1150"/>
      <c r="AE74" s="1150"/>
      <c r="AF74" s="1150"/>
      <c r="AG74" s="1150"/>
      <c r="AH74" s="1150"/>
      <c r="AI74" s="1150"/>
      <c r="AJ74" s="1158"/>
      <c r="AK74" s="1158"/>
      <c r="AL74" s="1158"/>
      <c r="AM74" s="1158"/>
      <c r="AN74" s="1158"/>
      <c r="AO74" s="1158"/>
      <c r="AP74" s="1158"/>
      <c r="AQ74" s="1158"/>
      <c r="AR74" s="1158"/>
      <c r="AS74" s="916"/>
      <c r="AT74" s="1144"/>
      <c r="AU74" s="1158"/>
      <c r="AV74" s="1158"/>
      <c r="AW74" s="1158"/>
      <c r="AX74" s="1158"/>
      <c r="AY74" s="1158"/>
      <c r="AZ74" s="1158"/>
      <c r="BA74" s="1158"/>
      <c r="BB74" s="1158"/>
      <c r="BC74" s="1144"/>
      <c r="BD74" s="1144"/>
      <c r="BE74" s="1144"/>
      <c r="BF74" s="1144"/>
      <c r="BG74" s="1144"/>
      <c r="BH74" s="1144"/>
      <c r="BI74" s="1144"/>
      <c r="BJ74" s="1144"/>
      <c r="BK74" s="1144"/>
      <c r="BL74" s="1144"/>
      <c r="BM74" s="1184" t="s">
        <v>631</v>
      </c>
      <c r="BN74" s="1185">
        <v>15.073380205279786</v>
      </c>
      <c r="BO74" s="1185">
        <v>14.300386348598769</v>
      </c>
      <c r="BP74" s="1185">
        <v>12.75439863523674</v>
      </c>
      <c r="BQ74" s="1185">
        <v>10.435417065193697</v>
      </c>
      <c r="BR74" s="1186">
        <v>10.435417065193697</v>
      </c>
      <c r="BS74" s="1148"/>
      <c r="BT74" s="1148"/>
      <c r="BU74" s="1139"/>
    </row>
    <row r="75" spans="1:73" ht="17.45" customHeight="1" thickBot="1">
      <c r="A75" s="916"/>
      <c r="B75" s="916"/>
      <c r="C75" s="916"/>
      <c r="D75" s="916"/>
      <c r="E75" s="916"/>
      <c r="F75" s="916"/>
      <c r="G75" s="916"/>
      <c r="H75" s="916"/>
      <c r="I75" s="916"/>
      <c r="J75" s="916"/>
      <c r="K75" s="916"/>
      <c r="L75" s="916"/>
      <c r="M75" s="916"/>
      <c r="N75" s="916"/>
      <c r="O75" s="916"/>
      <c r="P75" s="916"/>
      <c r="Q75" s="916"/>
      <c r="R75" s="916"/>
      <c r="S75" s="916"/>
      <c r="T75" s="916"/>
      <c r="U75" s="916"/>
      <c r="V75" s="916"/>
      <c r="W75" s="1150"/>
      <c r="X75" s="1150"/>
      <c r="Y75" s="1150"/>
      <c r="Z75" s="1150"/>
      <c r="AA75" s="1150"/>
      <c r="AB75" s="1150"/>
      <c r="AC75" s="1150"/>
      <c r="AD75" s="1150"/>
      <c r="AE75" s="1150"/>
      <c r="AF75" s="1150"/>
      <c r="AG75" s="1150"/>
      <c r="AH75" s="1150"/>
      <c r="AI75" s="1150"/>
      <c r="AJ75" s="1158"/>
      <c r="AK75" s="1158"/>
      <c r="AL75" s="1158"/>
      <c r="AM75" s="1158"/>
      <c r="AN75" s="1158"/>
      <c r="AO75" s="1158"/>
      <c r="AP75" s="1158"/>
      <c r="AQ75" s="1158"/>
      <c r="AR75" s="1158"/>
      <c r="AS75" s="916"/>
      <c r="AT75" s="1144"/>
      <c r="AU75" s="1158" t="s">
        <v>963</v>
      </c>
      <c r="AV75" s="1158"/>
      <c r="AW75" s="1158"/>
      <c r="AX75" s="1158"/>
      <c r="AY75" s="1158"/>
      <c r="AZ75" s="1158"/>
      <c r="BA75" s="1158"/>
      <c r="BB75" s="1158"/>
      <c r="BC75" s="1144"/>
      <c r="BD75" s="1144"/>
      <c r="BE75" s="1144"/>
      <c r="BF75" s="1144"/>
      <c r="BG75" s="1144"/>
      <c r="BH75" s="1144"/>
      <c r="BI75" s="1144"/>
      <c r="BJ75" s="1144"/>
      <c r="BK75" s="1144"/>
      <c r="BL75" s="1144"/>
      <c r="BM75" s="1187" t="s">
        <v>566</v>
      </c>
      <c r="BN75" s="1188">
        <v>15.073380205279786</v>
      </c>
      <c r="BO75" s="1188">
        <v>14.300386348598769</v>
      </c>
      <c r="BP75" s="1188">
        <v>12.75439863523674</v>
      </c>
      <c r="BQ75" s="1188">
        <v>10.435417065193697</v>
      </c>
      <c r="BR75" s="1189">
        <v>10.435417065193697</v>
      </c>
      <c r="BS75" s="1148"/>
      <c r="BT75" s="1148"/>
      <c r="BU75" s="1139"/>
    </row>
    <row r="76" spans="1:73" ht="17.45" customHeight="1" thickBot="1">
      <c r="A76" s="916"/>
      <c r="B76" s="916"/>
      <c r="C76" s="916"/>
      <c r="D76" s="916"/>
      <c r="E76" s="916"/>
      <c r="F76" s="916"/>
      <c r="G76" s="916"/>
      <c r="H76" s="916"/>
      <c r="I76" s="916"/>
      <c r="J76" s="916"/>
      <c r="K76" s="916"/>
      <c r="L76" s="916"/>
      <c r="M76" s="916"/>
      <c r="N76" s="916"/>
      <c r="O76" s="916"/>
      <c r="P76" s="916"/>
      <c r="Q76" s="916"/>
      <c r="R76" s="916"/>
      <c r="S76" s="916"/>
      <c r="T76" s="916"/>
      <c r="U76" s="916"/>
      <c r="V76" s="916"/>
      <c r="W76" s="1150"/>
      <c r="X76" s="1150"/>
      <c r="Y76" s="1150"/>
      <c r="Z76" s="1150"/>
      <c r="AA76" s="1150"/>
      <c r="AB76" s="1150"/>
      <c r="AC76" s="1150"/>
      <c r="AD76" s="1150"/>
      <c r="AE76" s="1150"/>
      <c r="AF76" s="1150"/>
      <c r="AG76" s="1150"/>
      <c r="AH76" s="1150"/>
      <c r="AI76" s="1150"/>
      <c r="AJ76" s="1158"/>
      <c r="AK76" s="1158"/>
      <c r="AL76" s="1158"/>
      <c r="AM76" s="1158"/>
      <c r="AN76" s="1158"/>
      <c r="AO76" s="1158"/>
      <c r="AP76" s="1158"/>
      <c r="AQ76" s="1158"/>
      <c r="AR76" s="1158"/>
      <c r="AS76" s="916"/>
      <c r="AT76" s="1144"/>
      <c r="AU76" s="1158" t="s">
        <v>964</v>
      </c>
      <c r="AV76" s="1158"/>
      <c r="AW76" s="1158" t="s">
        <v>965</v>
      </c>
      <c r="AX76" s="1158"/>
      <c r="AY76" s="1158"/>
      <c r="AZ76" s="1158"/>
      <c r="BA76" s="1158"/>
      <c r="BB76" s="1158"/>
      <c r="BC76" s="1144"/>
      <c r="BD76" s="1144"/>
      <c r="BE76" s="1144"/>
      <c r="BF76" s="1144"/>
      <c r="BG76" s="1144"/>
      <c r="BH76" s="1144"/>
      <c r="BI76" s="1144"/>
      <c r="BJ76" s="1144"/>
      <c r="BK76" s="1144"/>
      <c r="BL76" s="1144"/>
      <c r="BM76" s="1148"/>
      <c r="BN76" s="1148"/>
      <c r="BO76" s="1148"/>
      <c r="BP76" s="1148"/>
      <c r="BQ76" s="1148"/>
      <c r="BR76" s="1148"/>
      <c r="BS76" s="1148"/>
      <c r="BT76" s="1148"/>
      <c r="BU76" s="1139"/>
    </row>
    <row r="77" spans="1:73" ht="17.45" customHeight="1">
      <c r="A77" s="916"/>
      <c r="B77" s="916"/>
      <c r="C77" s="916"/>
      <c r="D77" s="916"/>
      <c r="E77" s="916"/>
      <c r="F77" s="916"/>
      <c r="G77" s="916"/>
      <c r="H77" s="916"/>
      <c r="I77" s="916"/>
      <c r="J77" s="916"/>
      <c r="K77" s="916"/>
      <c r="L77" s="916"/>
      <c r="M77" s="916"/>
      <c r="N77" s="916"/>
      <c r="O77" s="916"/>
      <c r="P77" s="916"/>
      <c r="Q77" s="916"/>
      <c r="R77" s="916"/>
      <c r="S77" s="916"/>
      <c r="T77" s="916"/>
      <c r="U77" s="916"/>
      <c r="V77" s="916"/>
      <c r="W77" s="1150"/>
      <c r="X77" s="1150"/>
      <c r="Y77" s="1150"/>
      <c r="Z77" s="1150"/>
      <c r="AA77" s="1150"/>
      <c r="AB77" s="1150"/>
      <c r="AC77" s="1150"/>
      <c r="AD77" s="1150"/>
      <c r="AE77" s="1150"/>
      <c r="AF77" s="1150"/>
      <c r="AG77" s="1150"/>
      <c r="AH77" s="1150"/>
      <c r="AI77" s="1150"/>
      <c r="AJ77" s="1158"/>
      <c r="AK77" s="1158"/>
      <c r="AL77" s="1158"/>
      <c r="AM77" s="1158"/>
      <c r="AN77" s="1158"/>
      <c r="AO77" s="1158"/>
      <c r="AP77" s="1158"/>
      <c r="AQ77" s="1158"/>
      <c r="AR77" s="1158"/>
      <c r="AS77" s="916"/>
      <c r="AT77" s="1144"/>
      <c r="AU77" s="1158" t="s">
        <v>561</v>
      </c>
      <c r="AV77" s="1158"/>
      <c r="AW77" s="1158" t="s">
        <v>560</v>
      </c>
      <c r="AX77" s="1158"/>
      <c r="AY77" s="1158"/>
      <c r="AZ77" s="1158"/>
      <c r="BA77" s="1158"/>
      <c r="BB77" s="1158"/>
      <c r="BC77" s="1144"/>
      <c r="BD77" s="1144"/>
      <c r="BE77" s="1144"/>
      <c r="BF77" s="1144"/>
      <c r="BG77" s="1144"/>
      <c r="BH77" s="1144"/>
      <c r="BI77" s="1144"/>
      <c r="BJ77" s="1144"/>
      <c r="BK77" s="1144"/>
      <c r="BL77" s="1144"/>
      <c r="BM77" s="1179" t="s">
        <v>570</v>
      </c>
      <c r="BN77" s="1181"/>
      <c r="BO77" s="1181"/>
      <c r="BP77" s="1182">
        <v>1.7999999999999999E-2</v>
      </c>
      <c r="BQ77" s="1181"/>
      <c r="BR77" s="1183"/>
      <c r="BS77" s="1148"/>
      <c r="BT77" s="1148"/>
      <c r="BU77" s="1139"/>
    </row>
    <row r="78" spans="1:73" ht="17.45" customHeight="1">
      <c r="A78" s="916"/>
      <c r="B78" s="916"/>
      <c r="C78" s="916"/>
      <c r="D78" s="916"/>
      <c r="E78" s="916"/>
      <c r="F78" s="916"/>
      <c r="G78" s="916"/>
      <c r="H78" s="916"/>
      <c r="I78" s="916"/>
      <c r="J78" s="916"/>
      <c r="K78" s="916"/>
      <c r="L78" s="916"/>
      <c r="M78" s="916"/>
      <c r="N78" s="916"/>
      <c r="O78" s="916"/>
      <c r="P78" s="916"/>
      <c r="Q78" s="916"/>
      <c r="R78" s="916"/>
      <c r="S78" s="916"/>
      <c r="T78" s="916"/>
      <c r="U78" s="916"/>
      <c r="V78" s="916"/>
      <c r="W78" s="1150"/>
      <c r="X78" s="1150"/>
      <c r="Y78" s="1150"/>
      <c r="Z78" s="1150"/>
      <c r="AA78" s="1150"/>
      <c r="AB78" s="1150"/>
      <c r="AC78" s="1150"/>
      <c r="AD78" s="1150"/>
      <c r="AE78" s="1150"/>
      <c r="AF78" s="1150"/>
      <c r="AG78" s="1150"/>
      <c r="AH78" s="1150"/>
      <c r="AI78" s="1150"/>
      <c r="AJ78" s="1158"/>
      <c r="AK78" s="1158"/>
      <c r="AL78" s="1158"/>
      <c r="AM78" s="1158"/>
      <c r="AN78" s="1158"/>
      <c r="AO78" s="1158"/>
      <c r="AP78" s="1158"/>
      <c r="AQ78" s="1158"/>
      <c r="AR78" s="1158"/>
      <c r="AS78" s="916"/>
      <c r="AT78" s="1144"/>
      <c r="AU78" s="1158" t="s">
        <v>559</v>
      </c>
      <c r="AV78" s="1158"/>
      <c r="AW78" s="1158" t="s">
        <v>558</v>
      </c>
      <c r="AX78" s="1158"/>
      <c r="AY78" s="1158"/>
      <c r="AZ78" s="1158"/>
      <c r="BA78" s="1158"/>
      <c r="BB78" s="1158"/>
      <c r="BC78" s="1144"/>
      <c r="BD78" s="1144"/>
      <c r="BE78" s="1144"/>
      <c r="BF78" s="1144"/>
      <c r="BG78" s="1144"/>
      <c r="BH78" s="1144"/>
      <c r="BI78" s="1144"/>
      <c r="BJ78" s="1144"/>
      <c r="BK78" s="1144"/>
      <c r="BL78" s="1144"/>
      <c r="BM78" s="1197" t="s">
        <v>627</v>
      </c>
      <c r="BN78" s="1185">
        <v>14.80205936158475</v>
      </c>
      <c r="BO78" s="1185">
        <v>14.042979394323991</v>
      </c>
      <c r="BP78" s="1185">
        <v>12.524819459802478</v>
      </c>
      <c r="BQ78" s="1185">
        <v>10.24757955802021</v>
      </c>
      <c r="BR78" s="1186">
        <v>10.24757955802021</v>
      </c>
      <c r="BS78" s="1148"/>
      <c r="BT78" s="1148"/>
      <c r="BU78" s="1139"/>
    </row>
    <row r="79" spans="1:73" ht="17.45" customHeight="1" thickBot="1">
      <c r="A79" s="916"/>
      <c r="B79" s="916"/>
      <c r="C79" s="916"/>
      <c r="D79" s="916"/>
      <c r="E79" s="916"/>
      <c r="F79" s="916"/>
      <c r="G79" s="916"/>
      <c r="H79" s="916"/>
      <c r="I79" s="916"/>
      <c r="J79" s="916"/>
      <c r="K79" s="916"/>
      <c r="L79" s="916"/>
      <c r="M79" s="916"/>
      <c r="N79" s="916"/>
      <c r="O79" s="916"/>
      <c r="P79" s="916"/>
      <c r="Q79" s="916"/>
      <c r="R79" s="916"/>
      <c r="S79" s="916"/>
      <c r="T79" s="916"/>
      <c r="U79" s="916"/>
      <c r="V79" s="916"/>
      <c r="W79" s="1150"/>
      <c r="X79" s="1150"/>
      <c r="Y79" s="1150"/>
      <c r="Z79" s="1150"/>
      <c r="AA79" s="1150"/>
      <c r="AB79" s="1150"/>
      <c r="AC79" s="1150"/>
      <c r="AD79" s="1150"/>
      <c r="AE79" s="1150"/>
      <c r="AF79" s="1150"/>
      <c r="AG79" s="1150"/>
      <c r="AH79" s="1150"/>
      <c r="AI79" s="1150"/>
      <c r="AJ79" s="1158"/>
      <c r="AK79" s="1158"/>
      <c r="AL79" s="1158"/>
      <c r="AM79" s="1158"/>
      <c r="AN79" s="1158"/>
      <c r="AO79" s="1158"/>
      <c r="AP79" s="1158"/>
      <c r="AQ79" s="1158"/>
      <c r="AR79" s="1158"/>
      <c r="AS79" s="916"/>
      <c r="AT79" s="1144"/>
      <c r="AU79" s="1158" t="s">
        <v>557</v>
      </c>
      <c r="AV79" s="1158"/>
      <c r="AW79" s="1158" t="s">
        <v>556</v>
      </c>
      <c r="AX79" s="1158"/>
      <c r="AY79" s="1158"/>
      <c r="AZ79" s="1158"/>
      <c r="BA79" s="1158"/>
      <c r="BB79" s="1158"/>
      <c r="BC79" s="1144"/>
      <c r="BD79" s="1144"/>
      <c r="BE79" s="1144"/>
      <c r="BF79" s="1144"/>
      <c r="BG79" s="1144"/>
      <c r="BH79" s="1144"/>
      <c r="BI79" s="1144"/>
      <c r="BJ79" s="1144"/>
      <c r="BK79" s="1144"/>
      <c r="BL79" s="1144"/>
      <c r="BM79" s="1187" t="s">
        <v>566</v>
      </c>
      <c r="BN79" s="1188">
        <v>14.80205936158475</v>
      </c>
      <c r="BO79" s="1188">
        <v>14.042979394323991</v>
      </c>
      <c r="BP79" s="1188">
        <v>12.524819459802478</v>
      </c>
      <c r="BQ79" s="1188">
        <v>10.24757955802021</v>
      </c>
      <c r="BR79" s="1189">
        <v>10.24757955802021</v>
      </c>
      <c r="BS79" s="1148"/>
      <c r="BT79" s="1148"/>
      <c r="BU79" s="1139"/>
    </row>
    <row r="80" spans="1:73" ht="17.45" customHeight="1">
      <c r="A80" s="916"/>
      <c r="B80" s="916"/>
      <c r="C80" s="916"/>
      <c r="D80" s="916"/>
      <c r="E80" s="916"/>
      <c r="F80" s="916"/>
      <c r="G80" s="916"/>
      <c r="H80" s="916"/>
      <c r="I80" s="916"/>
      <c r="J80" s="916"/>
      <c r="K80" s="916"/>
      <c r="L80" s="916"/>
      <c r="M80" s="916"/>
      <c r="N80" s="916"/>
      <c r="O80" s="916"/>
      <c r="P80" s="916"/>
      <c r="Q80" s="916"/>
      <c r="R80" s="916"/>
      <c r="S80" s="916"/>
      <c r="T80" s="916"/>
      <c r="U80" s="916"/>
      <c r="V80" s="916"/>
      <c r="W80" s="1150"/>
      <c r="X80" s="1150"/>
      <c r="Y80" s="1150"/>
      <c r="Z80" s="1150"/>
      <c r="AA80" s="1150"/>
      <c r="AB80" s="1150"/>
      <c r="AC80" s="1150"/>
      <c r="AD80" s="1150"/>
      <c r="AE80" s="1150"/>
      <c r="AF80" s="1150"/>
      <c r="AG80" s="1150"/>
      <c r="AH80" s="1150"/>
      <c r="AI80" s="1150"/>
      <c r="AJ80" s="1158"/>
      <c r="AK80" s="1158"/>
      <c r="AL80" s="1158"/>
      <c r="AM80" s="1158"/>
      <c r="AN80" s="1158"/>
      <c r="AO80" s="1158"/>
      <c r="AP80" s="1158"/>
      <c r="AQ80" s="1158"/>
      <c r="AR80" s="1158"/>
      <c r="AS80" s="916"/>
      <c r="AT80" s="1144"/>
      <c r="AU80" s="1158" t="s">
        <v>555</v>
      </c>
      <c r="AV80" s="1158"/>
      <c r="AW80" s="1158" t="s">
        <v>554</v>
      </c>
      <c r="AX80" s="1158"/>
      <c r="AY80" s="1158"/>
      <c r="AZ80" s="1158"/>
      <c r="BA80" s="1158"/>
      <c r="BB80" s="1158"/>
      <c r="BC80" s="1144"/>
      <c r="BD80" s="1144"/>
      <c r="BE80" s="1144"/>
      <c r="BF80" s="1144"/>
      <c r="BG80" s="1144"/>
      <c r="BH80" s="1144"/>
      <c r="BI80" s="1144"/>
      <c r="BJ80" s="1144"/>
      <c r="BK80" s="1144"/>
      <c r="BL80" s="1144"/>
      <c r="BM80" s="1179" t="s">
        <v>570</v>
      </c>
      <c r="BN80" s="1181"/>
      <c r="BO80" s="1181"/>
      <c r="BP80" s="1182">
        <v>1.7999999999999999E-2</v>
      </c>
      <c r="BQ80" s="1181"/>
      <c r="BR80" s="1183"/>
      <c r="BS80" s="1148"/>
      <c r="BT80" s="1148"/>
      <c r="BU80" s="1139"/>
    </row>
    <row r="81" spans="1:73" ht="17.45" customHeight="1">
      <c r="A81" s="916"/>
      <c r="B81" s="916"/>
      <c r="C81" s="916"/>
      <c r="D81" s="916"/>
      <c r="E81" s="916"/>
      <c r="F81" s="916"/>
      <c r="G81" s="916"/>
      <c r="H81" s="916"/>
      <c r="I81" s="916"/>
      <c r="J81" s="916"/>
      <c r="K81" s="916"/>
      <c r="L81" s="916"/>
      <c r="M81" s="916"/>
      <c r="N81" s="916"/>
      <c r="O81" s="916"/>
      <c r="P81" s="916"/>
      <c r="Q81" s="916"/>
      <c r="R81" s="916"/>
      <c r="S81" s="916"/>
      <c r="T81" s="916"/>
      <c r="U81" s="916"/>
      <c r="V81" s="916"/>
      <c r="W81" s="1150"/>
      <c r="X81" s="1150"/>
      <c r="Y81" s="1150"/>
      <c r="Z81" s="1150"/>
      <c r="AA81" s="1150"/>
      <c r="AB81" s="1150"/>
      <c r="AC81" s="1150"/>
      <c r="AD81" s="1150"/>
      <c r="AE81" s="1150"/>
      <c r="AF81" s="1150"/>
      <c r="AG81" s="1150"/>
      <c r="AH81" s="1150"/>
      <c r="AI81" s="1150"/>
      <c r="AJ81" s="1158"/>
      <c r="AK81" s="1158"/>
      <c r="AL81" s="1158"/>
      <c r="AM81" s="1158"/>
      <c r="AN81" s="1158"/>
      <c r="AO81" s="1158"/>
      <c r="AP81" s="1158"/>
      <c r="AQ81" s="1158"/>
      <c r="AR81" s="1158"/>
      <c r="AS81" s="916"/>
      <c r="AT81" s="1144"/>
      <c r="AU81" s="1158" t="s">
        <v>553</v>
      </c>
      <c r="AV81" s="1158"/>
      <c r="AW81" s="1158" t="s">
        <v>633</v>
      </c>
      <c r="AX81" s="1158"/>
      <c r="AY81" s="1158"/>
      <c r="AZ81" s="1158"/>
      <c r="BA81" s="1158"/>
      <c r="BB81" s="1158"/>
      <c r="BC81" s="1144"/>
      <c r="BD81" s="1144"/>
      <c r="BE81" s="1144"/>
      <c r="BF81" s="1144"/>
      <c r="BG81" s="1144"/>
      <c r="BH81" s="1144"/>
      <c r="BI81" s="1144"/>
      <c r="BJ81" s="1144"/>
      <c r="BK81" s="1144"/>
      <c r="BL81" s="1144"/>
      <c r="BM81" s="1197" t="s">
        <v>624</v>
      </c>
      <c r="BN81" s="1185">
        <v>14.535622293076225</v>
      </c>
      <c r="BO81" s="1185">
        <v>13.790205765226158</v>
      </c>
      <c r="BP81" s="1185">
        <v>12.299372709526033</v>
      </c>
      <c r="BQ81" s="1185">
        <v>10.063123125975846</v>
      </c>
      <c r="BR81" s="1186">
        <v>10.063123125975846</v>
      </c>
      <c r="BS81" s="1148"/>
      <c r="BT81" s="1148"/>
      <c r="BU81" s="1139"/>
    </row>
    <row r="82" spans="1:73" ht="17.45" customHeight="1" thickBot="1">
      <c r="A82" s="916"/>
      <c r="B82" s="916"/>
      <c r="C82" s="916"/>
      <c r="D82" s="916"/>
      <c r="E82" s="916"/>
      <c r="F82" s="916"/>
      <c r="G82" s="916"/>
      <c r="H82" s="916"/>
      <c r="I82" s="916"/>
      <c r="J82" s="916"/>
      <c r="K82" s="916"/>
      <c r="L82" s="916"/>
      <c r="M82" s="916"/>
      <c r="N82" s="916"/>
      <c r="O82" s="916"/>
      <c r="P82" s="916"/>
      <c r="Q82" s="916"/>
      <c r="R82" s="916"/>
      <c r="S82" s="916"/>
      <c r="T82" s="916"/>
      <c r="U82" s="916"/>
      <c r="V82" s="916"/>
      <c r="W82" s="1150"/>
      <c r="X82" s="1150"/>
      <c r="Y82" s="1150"/>
      <c r="Z82" s="1150"/>
      <c r="AA82" s="1150"/>
      <c r="AB82" s="1150"/>
      <c r="AC82" s="1150"/>
      <c r="AD82" s="1150"/>
      <c r="AE82" s="1150"/>
      <c r="AF82" s="1150"/>
      <c r="AG82" s="1150"/>
      <c r="AH82" s="1150"/>
      <c r="AI82" s="1150"/>
      <c r="AJ82" s="1158"/>
      <c r="AK82" s="1158"/>
      <c r="AL82" s="1158"/>
      <c r="AM82" s="1158"/>
      <c r="AN82" s="1158"/>
      <c r="AO82" s="1158"/>
      <c r="AP82" s="1158"/>
      <c r="AQ82" s="1158"/>
      <c r="AR82" s="1158"/>
      <c r="AS82" s="916"/>
      <c r="AT82" s="1144"/>
      <c r="AU82" s="1158"/>
      <c r="AV82" s="1158"/>
      <c r="AW82" s="1158" t="s">
        <v>632</v>
      </c>
      <c r="AX82" s="1158"/>
      <c r="AY82" s="1158"/>
      <c r="AZ82" s="1158"/>
      <c r="BA82" s="1158"/>
      <c r="BB82" s="1158"/>
      <c r="BC82" s="1144"/>
      <c r="BD82" s="1144"/>
      <c r="BE82" s="1144"/>
      <c r="BF82" s="1144"/>
      <c r="BG82" s="1144"/>
      <c r="BH82" s="1144"/>
      <c r="BI82" s="1144"/>
      <c r="BJ82" s="1144"/>
      <c r="BK82" s="1144"/>
      <c r="BL82" s="1144"/>
      <c r="BM82" s="1187" t="s">
        <v>566</v>
      </c>
      <c r="BN82" s="1188">
        <v>14.535622293076225</v>
      </c>
      <c r="BO82" s="1188">
        <v>13.790205765226158</v>
      </c>
      <c r="BP82" s="1188">
        <v>12.299372709526033</v>
      </c>
      <c r="BQ82" s="1188">
        <v>10.063123125975846</v>
      </c>
      <c r="BR82" s="1189">
        <v>10.063123125975846</v>
      </c>
      <c r="BS82" s="1148"/>
      <c r="BT82" s="1148"/>
      <c r="BU82" s="1139"/>
    </row>
    <row r="83" spans="1:73" ht="17.45" customHeight="1">
      <c r="A83" s="916"/>
      <c r="B83" s="916"/>
      <c r="C83" s="916"/>
      <c r="D83" s="916"/>
      <c r="E83" s="916"/>
      <c r="F83" s="916"/>
      <c r="G83" s="916"/>
      <c r="H83" s="916"/>
      <c r="I83" s="916"/>
      <c r="J83" s="916"/>
      <c r="K83" s="916"/>
      <c r="L83" s="916"/>
      <c r="M83" s="916"/>
      <c r="N83" s="916"/>
      <c r="O83" s="916"/>
      <c r="P83" s="916"/>
      <c r="Q83" s="916"/>
      <c r="R83" s="916"/>
      <c r="S83" s="916"/>
      <c r="T83" s="916"/>
      <c r="U83" s="916"/>
      <c r="V83" s="916"/>
      <c r="W83" s="1150"/>
      <c r="X83" s="1150"/>
      <c r="Y83" s="1150"/>
      <c r="Z83" s="1150"/>
      <c r="AA83" s="1150"/>
      <c r="AB83" s="1150"/>
      <c r="AC83" s="1150"/>
      <c r="AD83" s="1150"/>
      <c r="AE83" s="1150"/>
      <c r="AF83" s="1150"/>
      <c r="AG83" s="1150"/>
      <c r="AH83" s="1150"/>
      <c r="AI83" s="1150"/>
      <c r="AJ83" s="1158"/>
      <c r="AK83" s="1158"/>
      <c r="AL83" s="1158"/>
      <c r="AM83" s="1158"/>
      <c r="AN83" s="1158"/>
      <c r="AO83" s="1158"/>
      <c r="AP83" s="1158"/>
      <c r="AQ83" s="1158"/>
      <c r="AR83" s="1158"/>
      <c r="AS83" s="916"/>
      <c r="AT83" s="1144"/>
      <c r="AU83" s="1158" t="s">
        <v>552</v>
      </c>
      <c r="AV83" s="1158"/>
      <c r="AW83" s="1158" t="s">
        <v>630</v>
      </c>
      <c r="AX83" s="1158"/>
      <c r="AY83" s="1158"/>
      <c r="AZ83" s="1158"/>
      <c r="BA83" s="1158"/>
      <c r="BB83" s="1158"/>
      <c r="BC83" s="1144"/>
      <c r="BD83" s="1144"/>
      <c r="BE83" s="1144"/>
      <c r="BF83" s="1144"/>
      <c r="BG83" s="1144"/>
      <c r="BH83" s="1144"/>
      <c r="BI83" s="1144"/>
      <c r="BJ83" s="1144"/>
      <c r="BK83" s="1144"/>
      <c r="BL83" s="1144"/>
      <c r="BM83" s="1179" t="s">
        <v>570</v>
      </c>
      <c r="BN83" s="1181"/>
      <c r="BO83" s="1181"/>
      <c r="BP83" s="1182">
        <v>1.7999999999999999E-2</v>
      </c>
      <c r="BQ83" s="1181"/>
      <c r="BR83" s="1183"/>
      <c r="BS83" s="1148"/>
      <c r="BT83" s="1148"/>
      <c r="BU83" s="1139"/>
    </row>
    <row r="84" spans="1:73" ht="17.45" customHeight="1">
      <c r="A84" s="916"/>
      <c r="B84" s="916"/>
      <c r="C84" s="916"/>
      <c r="D84" s="916"/>
      <c r="E84" s="916"/>
      <c r="F84" s="916"/>
      <c r="G84" s="916"/>
      <c r="H84" s="916"/>
      <c r="I84" s="916"/>
      <c r="J84" s="916"/>
      <c r="K84" s="916"/>
      <c r="L84" s="916"/>
      <c r="M84" s="916"/>
      <c r="N84" s="916"/>
      <c r="O84" s="916"/>
      <c r="P84" s="916"/>
      <c r="Q84" s="916"/>
      <c r="R84" s="916"/>
      <c r="S84" s="916"/>
      <c r="T84" s="916"/>
      <c r="U84" s="916"/>
      <c r="V84" s="916"/>
      <c r="W84" s="1150"/>
      <c r="X84" s="1150"/>
      <c r="Y84" s="1150"/>
      <c r="Z84" s="1150"/>
      <c r="AA84" s="1150"/>
      <c r="AB84" s="1150"/>
      <c r="AC84" s="1150"/>
      <c r="AD84" s="1150"/>
      <c r="AE84" s="1150"/>
      <c r="AF84" s="1150"/>
      <c r="AG84" s="1150"/>
      <c r="AH84" s="1150"/>
      <c r="AI84" s="1150"/>
      <c r="AJ84" s="1158"/>
      <c r="AK84" s="1158"/>
      <c r="AL84" s="1158"/>
      <c r="AM84" s="1158"/>
      <c r="AN84" s="1158"/>
      <c r="AO84" s="1158"/>
      <c r="AP84" s="1158"/>
      <c r="AQ84" s="1158"/>
      <c r="AR84" s="1158"/>
      <c r="AS84" s="916"/>
      <c r="AT84" s="1144"/>
      <c r="AU84" s="1158"/>
      <c r="AV84" s="1158"/>
      <c r="AW84" s="1158" t="s">
        <v>629</v>
      </c>
      <c r="AX84" s="1158"/>
      <c r="AY84" s="1158"/>
      <c r="AZ84" s="1158"/>
      <c r="BA84" s="1158"/>
      <c r="BB84" s="1158"/>
      <c r="BC84" s="1144"/>
      <c r="BD84" s="1144"/>
      <c r="BE84" s="1144"/>
      <c r="BF84" s="1144"/>
      <c r="BG84" s="1144"/>
      <c r="BH84" s="1144"/>
      <c r="BI84" s="1144"/>
      <c r="BJ84" s="1144"/>
      <c r="BK84" s="1144"/>
      <c r="BL84" s="1144"/>
      <c r="BM84" s="1197" t="s">
        <v>621</v>
      </c>
      <c r="BN84" s="1185">
        <v>14.273981091800852</v>
      </c>
      <c r="BO84" s="1185">
        <v>13.541982061452087</v>
      </c>
      <c r="BP84" s="1185">
        <v>12.077984000754563</v>
      </c>
      <c r="BQ84" s="1185">
        <v>9.8819869097082798</v>
      </c>
      <c r="BR84" s="1186">
        <v>9.8819869097082798</v>
      </c>
      <c r="BS84" s="1148"/>
      <c r="BT84" s="1148"/>
      <c r="BU84" s="1139"/>
    </row>
    <row r="85" spans="1:73" ht="17.45" customHeight="1" thickBot="1">
      <c r="A85" s="916"/>
      <c r="B85" s="916"/>
      <c r="C85" s="916"/>
      <c r="D85" s="916"/>
      <c r="E85" s="916"/>
      <c r="F85" s="916"/>
      <c r="G85" s="916"/>
      <c r="H85" s="916"/>
      <c r="I85" s="916"/>
      <c r="J85" s="916"/>
      <c r="K85" s="916"/>
      <c r="L85" s="916"/>
      <c r="M85" s="916"/>
      <c r="N85" s="916"/>
      <c r="O85" s="916"/>
      <c r="P85" s="916"/>
      <c r="Q85" s="916"/>
      <c r="R85" s="916"/>
      <c r="S85" s="916"/>
      <c r="T85" s="916"/>
      <c r="U85" s="916"/>
      <c r="V85" s="916"/>
      <c r="W85" s="1150"/>
      <c r="X85" s="1150"/>
      <c r="Y85" s="1150"/>
      <c r="Z85" s="1150"/>
      <c r="AA85" s="1150"/>
      <c r="AB85" s="1150"/>
      <c r="AC85" s="1150"/>
      <c r="AD85" s="1150"/>
      <c r="AE85" s="1150"/>
      <c r="AF85" s="1150"/>
      <c r="AG85" s="1150"/>
      <c r="AH85" s="1150"/>
      <c r="AI85" s="1150"/>
      <c r="AJ85" s="1158"/>
      <c r="AK85" s="1158"/>
      <c r="AL85" s="1158"/>
      <c r="AM85" s="1158"/>
      <c r="AN85" s="1158"/>
      <c r="AO85" s="1158"/>
      <c r="AP85" s="1158"/>
      <c r="AQ85" s="1158"/>
      <c r="AR85" s="1158"/>
      <c r="AS85" s="916"/>
      <c r="AT85" s="1144"/>
      <c r="AU85" s="1158"/>
      <c r="AV85" s="1158"/>
      <c r="AW85" s="1158"/>
      <c r="AX85" s="1158"/>
      <c r="AY85" s="1158"/>
      <c r="AZ85" s="1158"/>
      <c r="BA85" s="1158"/>
      <c r="BB85" s="1158"/>
      <c r="BC85" s="1144"/>
      <c r="BD85" s="1144"/>
      <c r="BE85" s="1144"/>
      <c r="BF85" s="1144"/>
      <c r="BG85" s="1144"/>
      <c r="BH85" s="1144"/>
      <c r="BI85" s="1144"/>
      <c r="BJ85" s="1144"/>
      <c r="BK85" s="1144"/>
      <c r="BL85" s="1144"/>
      <c r="BM85" s="1187" t="s">
        <v>566</v>
      </c>
      <c r="BN85" s="1188">
        <v>14.273981091800852</v>
      </c>
      <c r="BO85" s="1188">
        <v>13.541982061452087</v>
      </c>
      <c r="BP85" s="1188">
        <v>12.077984000754563</v>
      </c>
      <c r="BQ85" s="1188">
        <v>9.8819869097082798</v>
      </c>
      <c r="BR85" s="1189">
        <v>9.8819869097082798</v>
      </c>
      <c r="BS85" s="1148"/>
      <c r="BT85" s="1148"/>
      <c r="BU85" s="1139"/>
    </row>
    <row r="86" spans="1:73" ht="17.45" customHeight="1" thickTop="1" thickBot="1">
      <c r="A86" s="916"/>
      <c r="B86" s="916"/>
      <c r="C86" s="916"/>
      <c r="D86" s="916"/>
      <c r="E86" s="916"/>
      <c r="F86" s="916"/>
      <c r="G86" s="916"/>
      <c r="H86" s="916"/>
      <c r="I86" s="916"/>
      <c r="J86" s="916"/>
      <c r="K86" s="916"/>
      <c r="L86" s="916"/>
      <c r="M86" s="916"/>
      <c r="N86" s="916"/>
      <c r="O86" s="916"/>
      <c r="P86" s="916"/>
      <c r="Q86" s="916"/>
      <c r="R86" s="916"/>
      <c r="S86" s="916"/>
      <c r="T86" s="916"/>
      <c r="U86" s="916"/>
      <c r="V86" s="916"/>
      <c r="W86" s="1150"/>
      <c r="X86" s="1150"/>
      <c r="Y86" s="1150"/>
      <c r="Z86" s="1150"/>
      <c r="AA86" s="1150"/>
      <c r="AB86" s="1150"/>
      <c r="AC86" s="1150"/>
      <c r="AD86" s="1150"/>
      <c r="AE86" s="1150"/>
      <c r="AF86" s="1150"/>
      <c r="AG86" s="1150"/>
      <c r="AH86" s="1150"/>
      <c r="AI86" s="1150"/>
      <c r="AJ86" s="1198"/>
      <c r="AK86" s="1198"/>
      <c r="AL86" s="1198"/>
      <c r="AM86" s="1198"/>
      <c r="AN86" s="1198"/>
      <c r="AO86" s="1198"/>
      <c r="AP86" s="1198"/>
      <c r="AQ86" s="1198"/>
      <c r="AR86" s="1198"/>
      <c r="AS86" s="916"/>
      <c r="AT86" s="1144"/>
      <c r="AU86" s="1199" t="s">
        <v>628</v>
      </c>
      <c r="AV86" s="1198"/>
      <c r="AW86" s="1198"/>
      <c r="AX86" s="1198"/>
      <c r="AY86" s="1198"/>
      <c r="AZ86" s="1198"/>
      <c r="BA86" s="1198"/>
      <c r="BB86" s="1200"/>
      <c r="BC86" s="1144"/>
      <c r="BD86" s="1144"/>
      <c r="BE86" s="1144"/>
      <c r="BF86" s="1144"/>
      <c r="BG86" s="1144"/>
      <c r="BH86" s="1144"/>
      <c r="BI86" s="1144"/>
      <c r="BJ86" s="1144"/>
      <c r="BK86" s="1144"/>
      <c r="BL86" s="1144"/>
      <c r="BM86" s="1148"/>
      <c r="BN86" s="1148"/>
      <c r="BO86" s="1148"/>
      <c r="BP86" s="1148"/>
      <c r="BQ86" s="1148"/>
      <c r="BR86" s="1148"/>
      <c r="BS86" s="1148"/>
      <c r="BT86" s="1148"/>
      <c r="BU86" s="1139"/>
    </row>
    <row r="87" spans="1:73" ht="17.45" customHeight="1">
      <c r="A87" s="916"/>
      <c r="B87" s="916"/>
      <c r="C87" s="916"/>
      <c r="D87" s="916"/>
      <c r="E87" s="916"/>
      <c r="F87" s="916"/>
      <c r="G87" s="916"/>
      <c r="H87" s="916"/>
      <c r="I87" s="916"/>
      <c r="J87" s="916"/>
      <c r="K87" s="916"/>
      <c r="L87" s="916"/>
      <c r="M87" s="916"/>
      <c r="N87" s="916"/>
      <c r="O87" s="916"/>
      <c r="P87" s="916"/>
      <c r="Q87" s="916"/>
      <c r="R87" s="916"/>
      <c r="S87" s="916"/>
      <c r="T87" s="916"/>
      <c r="U87" s="916"/>
      <c r="V87" s="916"/>
      <c r="W87" s="1150"/>
      <c r="X87" s="1150"/>
      <c r="Y87" s="1150"/>
      <c r="Z87" s="1150"/>
      <c r="AA87" s="1150"/>
      <c r="AB87" s="1150"/>
      <c r="AC87" s="1150"/>
      <c r="AD87" s="1150"/>
      <c r="AE87" s="1150"/>
      <c r="AF87" s="1150"/>
      <c r="AG87" s="1150"/>
      <c r="AH87" s="1150"/>
      <c r="AI87" s="1150"/>
      <c r="AJ87" s="1201"/>
      <c r="AK87" s="1201"/>
      <c r="AL87" s="1201"/>
      <c r="AM87" s="1201"/>
      <c r="AN87" s="1201"/>
      <c r="AO87" s="1201"/>
      <c r="AP87" s="1201"/>
      <c r="AQ87" s="1201"/>
      <c r="AR87" s="1201"/>
      <c r="AS87" s="916"/>
      <c r="AT87" s="1144"/>
      <c r="AU87" s="1202" t="s">
        <v>626</v>
      </c>
      <c r="AV87" s="1201"/>
      <c r="AW87" s="1201"/>
      <c r="AX87" s="1201"/>
      <c r="AY87" s="1201"/>
      <c r="AZ87" s="1201"/>
      <c r="BA87" s="1201"/>
      <c r="BB87" s="1203"/>
      <c r="BC87" s="1144"/>
      <c r="BD87" s="1144"/>
      <c r="BE87" s="1144"/>
      <c r="BF87" s="1144"/>
      <c r="BG87" s="1144"/>
      <c r="BH87" s="1144"/>
      <c r="BI87" s="1144"/>
      <c r="BJ87" s="1144"/>
      <c r="BK87" s="1144"/>
      <c r="BL87" s="1144"/>
      <c r="BM87" s="1179" t="s">
        <v>570</v>
      </c>
      <c r="BN87" s="1181"/>
      <c r="BO87" s="1181"/>
      <c r="BP87" s="1182">
        <v>1.4E-2</v>
      </c>
      <c r="BQ87" s="1181"/>
      <c r="BR87" s="1183"/>
      <c r="BS87" s="1148"/>
      <c r="BT87" s="1148"/>
      <c r="BU87" s="1139"/>
    </row>
    <row r="88" spans="1:73" ht="17.45" customHeight="1">
      <c r="A88" s="916"/>
      <c r="B88" s="916"/>
      <c r="C88" s="916"/>
      <c r="D88" s="916"/>
      <c r="E88" s="916"/>
      <c r="F88" s="916"/>
      <c r="G88" s="916"/>
      <c r="H88" s="916"/>
      <c r="I88" s="916"/>
      <c r="J88" s="916"/>
      <c r="K88" s="916"/>
      <c r="L88" s="916"/>
      <c r="M88" s="916"/>
      <c r="N88" s="916"/>
      <c r="O88" s="916"/>
      <c r="P88" s="916"/>
      <c r="Q88" s="916"/>
      <c r="R88" s="916"/>
      <c r="S88" s="916"/>
      <c r="T88" s="916"/>
      <c r="U88" s="916"/>
      <c r="V88" s="916"/>
      <c r="W88" s="1150"/>
      <c r="X88" s="1150"/>
      <c r="Y88" s="1150"/>
      <c r="Z88" s="1150"/>
      <c r="AA88" s="1150"/>
      <c r="AB88" s="1150"/>
      <c r="AC88" s="1150"/>
      <c r="AD88" s="1150"/>
      <c r="AE88" s="1150"/>
      <c r="AF88" s="1150"/>
      <c r="AG88" s="1150"/>
      <c r="AH88" s="1150"/>
      <c r="AI88" s="1150"/>
      <c r="AJ88" s="1201"/>
      <c r="AK88" s="1201"/>
      <c r="AL88" s="1201"/>
      <c r="AM88" s="1201"/>
      <c r="AN88" s="1201"/>
      <c r="AO88" s="1201"/>
      <c r="AP88" s="1201"/>
      <c r="AQ88" s="1201"/>
      <c r="AR88" s="1201"/>
      <c r="AS88" s="916"/>
      <c r="AT88" s="1144"/>
      <c r="AU88" s="1204"/>
      <c r="AV88" s="1201"/>
      <c r="AW88" s="1201"/>
      <c r="AX88" s="1201"/>
      <c r="AY88" s="1201"/>
      <c r="AZ88" s="1201"/>
      <c r="BA88" s="1201"/>
      <c r="BB88" s="1203"/>
      <c r="BC88" s="1144"/>
      <c r="BD88" s="1144"/>
      <c r="BE88" s="1144"/>
      <c r="BF88" s="1144"/>
      <c r="BG88" s="1144"/>
      <c r="BH88" s="1144"/>
      <c r="BI88" s="1144"/>
      <c r="BJ88" s="1144"/>
      <c r="BK88" s="1144"/>
      <c r="BL88" s="1144"/>
      <c r="BM88" s="1197" t="s">
        <v>615</v>
      </c>
      <c r="BN88" s="1185">
        <v>14.07414535651564</v>
      </c>
      <c r="BO88" s="1185">
        <v>13.352394312591757</v>
      </c>
      <c r="BP88" s="1185">
        <v>11.908892224743999</v>
      </c>
      <c r="BQ88" s="1185">
        <v>9.743639092972364</v>
      </c>
      <c r="BR88" s="1186">
        <v>9.743639092972364</v>
      </c>
      <c r="BS88" s="1148"/>
      <c r="BT88" s="1148"/>
      <c r="BU88" s="1139"/>
    </row>
    <row r="89" spans="1:73" ht="17.45" customHeight="1" thickBot="1">
      <c r="A89" s="916"/>
      <c r="B89" s="916"/>
      <c r="C89" s="916"/>
      <c r="D89" s="916"/>
      <c r="E89" s="916"/>
      <c r="F89" s="916"/>
      <c r="G89" s="916"/>
      <c r="H89" s="916"/>
      <c r="I89" s="916"/>
      <c r="J89" s="916"/>
      <c r="K89" s="916"/>
      <c r="L89" s="916"/>
      <c r="M89" s="916"/>
      <c r="N89" s="916"/>
      <c r="O89" s="916"/>
      <c r="P89" s="916"/>
      <c r="Q89" s="916"/>
      <c r="R89" s="916"/>
      <c r="S89" s="916"/>
      <c r="T89" s="916"/>
      <c r="U89" s="916"/>
      <c r="V89" s="916"/>
      <c r="W89" s="1150"/>
      <c r="X89" s="1150"/>
      <c r="Y89" s="1150"/>
      <c r="Z89" s="1150"/>
      <c r="AA89" s="1150"/>
      <c r="AB89" s="1150"/>
      <c r="AC89" s="1150"/>
      <c r="AD89" s="1150"/>
      <c r="AE89" s="1150"/>
      <c r="AF89" s="1150"/>
      <c r="AG89" s="1150"/>
      <c r="AH89" s="1150"/>
      <c r="AI89" s="1150"/>
      <c r="AJ89" s="1201"/>
      <c r="AK89" s="1201"/>
      <c r="AL89" s="1201"/>
      <c r="AM89" s="1201"/>
      <c r="AN89" s="1201"/>
      <c r="AO89" s="1201"/>
      <c r="AP89" s="1201"/>
      <c r="AQ89" s="1201"/>
      <c r="AR89" s="1201"/>
      <c r="AS89" s="916"/>
      <c r="AT89" s="1144"/>
      <c r="AU89" s="1204" t="s">
        <v>625</v>
      </c>
      <c r="AV89" s="1201" t="s">
        <v>1194</v>
      </c>
      <c r="AW89" s="1201"/>
      <c r="AX89" s="1201"/>
      <c r="AY89" s="1201"/>
      <c r="AZ89" s="1201"/>
      <c r="BA89" s="1201"/>
      <c r="BB89" s="1203"/>
      <c r="BC89" s="1144"/>
      <c r="BD89" s="1144"/>
      <c r="BE89" s="1144"/>
      <c r="BF89" s="1144"/>
      <c r="BG89" s="1144"/>
      <c r="BH89" s="1144"/>
      <c r="BI89" s="1144"/>
      <c r="BJ89" s="1144"/>
      <c r="BK89" s="1144"/>
      <c r="BL89" s="1144"/>
      <c r="BM89" s="1187" t="s">
        <v>566</v>
      </c>
      <c r="BN89" s="1188">
        <v>14.07414535651564</v>
      </c>
      <c r="BO89" s="1188">
        <v>13.352394312591757</v>
      </c>
      <c r="BP89" s="1188">
        <v>11.908892224743999</v>
      </c>
      <c r="BQ89" s="1188">
        <v>9.743639092972364</v>
      </c>
      <c r="BR89" s="1189">
        <v>9.743639092972364</v>
      </c>
      <c r="BS89" s="1148"/>
      <c r="BT89" s="1148"/>
      <c r="BU89" s="1139"/>
    </row>
    <row r="90" spans="1:73" ht="17.45" customHeight="1">
      <c r="A90" s="916"/>
      <c r="B90" s="916"/>
      <c r="C90" s="916"/>
      <c r="D90" s="916"/>
      <c r="E90" s="916"/>
      <c r="F90" s="916"/>
      <c r="G90" s="916"/>
      <c r="H90" s="916"/>
      <c r="I90" s="916"/>
      <c r="J90" s="916"/>
      <c r="K90" s="916"/>
      <c r="L90" s="916"/>
      <c r="M90" s="916"/>
      <c r="N90" s="916"/>
      <c r="O90" s="916"/>
      <c r="P90" s="916"/>
      <c r="Q90" s="916"/>
      <c r="R90" s="916"/>
      <c r="S90" s="916"/>
      <c r="T90" s="916"/>
      <c r="U90" s="916"/>
      <c r="V90" s="916"/>
      <c r="W90" s="1150"/>
      <c r="X90" s="1150"/>
      <c r="Y90" s="1150"/>
      <c r="Z90" s="1150"/>
      <c r="AA90" s="1150"/>
      <c r="AB90" s="1150"/>
      <c r="AC90" s="1150"/>
      <c r="AD90" s="1150"/>
      <c r="AE90" s="1150"/>
      <c r="AF90" s="1150"/>
      <c r="AG90" s="1150"/>
      <c r="AH90" s="1150"/>
      <c r="AI90" s="1150"/>
      <c r="AJ90" s="1201"/>
      <c r="AK90" s="1201"/>
      <c r="AL90" s="1201"/>
      <c r="AM90" s="1201"/>
      <c r="AN90" s="1201"/>
      <c r="AO90" s="1201"/>
      <c r="AP90" s="1201"/>
      <c r="AQ90" s="1201"/>
      <c r="AR90" s="1201"/>
      <c r="AS90" s="916"/>
      <c r="AT90" s="1144"/>
      <c r="AU90" s="1204"/>
      <c r="AV90" s="1201"/>
      <c r="AW90" s="1201"/>
      <c r="AX90" s="1201"/>
      <c r="AY90" s="1201"/>
      <c r="AZ90" s="1201"/>
      <c r="BA90" s="1201"/>
      <c r="BB90" s="1203"/>
      <c r="BC90" s="1144"/>
      <c r="BD90" s="1144"/>
      <c r="BE90" s="1144"/>
      <c r="BF90" s="1144"/>
      <c r="BG90" s="1144"/>
      <c r="BH90" s="1144"/>
      <c r="BI90" s="1144"/>
      <c r="BJ90" s="1144"/>
      <c r="BK90" s="1144"/>
      <c r="BL90" s="1144"/>
      <c r="BM90" s="1179" t="s">
        <v>570</v>
      </c>
      <c r="BN90" s="1181"/>
      <c r="BO90" s="1181"/>
      <c r="BP90" s="1182">
        <v>1.4E-2</v>
      </c>
      <c r="BQ90" s="1181"/>
      <c r="BR90" s="1183"/>
      <c r="BS90" s="1148"/>
      <c r="BT90" s="1148"/>
      <c r="BU90" s="1139"/>
    </row>
    <row r="91" spans="1:73" ht="17.45" customHeight="1">
      <c r="A91" s="916"/>
      <c r="B91" s="916"/>
      <c r="C91" s="916"/>
      <c r="D91" s="916"/>
      <c r="E91" s="916"/>
      <c r="F91" s="916"/>
      <c r="G91" s="916"/>
      <c r="H91" s="916"/>
      <c r="I91" s="916"/>
      <c r="J91" s="916"/>
      <c r="K91" s="916"/>
      <c r="L91" s="916"/>
      <c r="M91" s="916"/>
      <c r="N91" s="916"/>
      <c r="O91" s="916"/>
      <c r="P91" s="916"/>
      <c r="Q91" s="916"/>
      <c r="R91" s="916"/>
      <c r="S91" s="916"/>
      <c r="T91" s="916"/>
      <c r="U91" s="916"/>
      <c r="V91" s="916"/>
      <c r="W91" s="1150"/>
      <c r="X91" s="1150"/>
      <c r="Y91" s="1150"/>
      <c r="Z91" s="1150"/>
      <c r="AA91" s="1150"/>
      <c r="AB91" s="1150"/>
      <c r="AC91" s="1150"/>
      <c r="AD91" s="1150"/>
      <c r="AE91" s="1150"/>
      <c r="AF91" s="1150"/>
      <c r="AG91" s="1150"/>
      <c r="AH91" s="1150"/>
      <c r="AI91" s="1150"/>
      <c r="AJ91" s="1201"/>
      <c r="AK91" s="1201"/>
      <c r="AL91" s="1201"/>
      <c r="AM91" s="1201"/>
      <c r="AN91" s="1201"/>
      <c r="AO91" s="1201"/>
      <c r="AP91" s="1201"/>
      <c r="AQ91" s="1201"/>
      <c r="AR91" s="1201"/>
      <c r="AS91" s="916"/>
      <c r="AT91" s="1144"/>
      <c r="AU91" s="1204" t="s">
        <v>623</v>
      </c>
      <c r="AV91" s="1201" t="s">
        <v>622</v>
      </c>
      <c r="AW91" s="1201"/>
      <c r="AX91" s="1201"/>
      <c r="AY91" s="1201"/>
      <c r="AZ91" s="1201"/>
      <c r="BA91" s="1201"/>
      <c r="BB91" s="1203"/>
      <c r="BC91" s="1144"/>
      <c r="BD91" s="1144"/>
      <c r="BE91" s="1144"/>
      <c r="BF91" s="1144"/>
      <c r="BG91" s="1144"/>
      <c r="BH91" s="1144"/>
      <c r="BI91" s="1144"/>
      <c r="BJ91" s="1144"/>
      <c r="BK91" s="1144"/>
      <c r="BL91" s="1144"/>
      <c r="BM91" s="1197" t="s">
        <v>610</v>
      </c>
      <c r="BN91" s="1185">
        <v>13.87710732152442</v>
      </c>
      <c r="BO91" s="1185">
        <v>13.165460792215473</v>
      </c>
      <c r="BP91" s="1185">
        <v>11.742167733597583</v>
      </c>
      <c r="BQ91" s="1185">
        <v>9.6072281456707511</v>
      </c>
      <c r="BR91" s="1186">
        <v>9.6072281456707511</v>
      </c>
      <c r="BS91" s="1148"/>
      <c r="BT91" s="1148"/>
      <c r="BU91" s="1139"/>
    </row>
    <row r="92" spans="1:73" ht="17.45" customHeight="1" thickBot="1">
      <c r="A92" s="916"/>
      <c r="B92" s="916"/>
      <c r="C92" s="916"/>
      <c r="D92" s="916"/>
      <c r="E92" s="916"/>
      <c r="F92" s="916"/>
      <c r="G92" s="916"/>
      <c r="H92" s="916"/>
      <c r="I92" s="916"/>
      <c r="J92" s="916"/>
      <c r="K92" s="916"/>
      <c r="L92" s="916"/>
      <c r="M92" s="916"/>
      <c r="N92" s="916"/>
      <c r="O92" s="916"/>
      <c r="P92" s="916"/>
      <c r="Q92" s="916"/>
      <c r="R92" s="916"/>
      <c r="S92" s="916"/>
      <c r="T92" s="916"/>
      <c r="U92" s="916"/>
      <c r="V92" s="916"/>
      <c r="W92" s="1150"/>
      <c r="X92" s="1150"/>
      <c r="Y92" s="1150"/>
      <c r="Z92" s="1150"/>
      <c r="AA92" s="1150"/>
      <c r="AB92" s="1150"/>
      <c r="AC92" s="1150"/>
      <c r="AD92" s="1150"/>
      <c r="AE92" s="1150"/>
      <c r="AF92" s="1150"/>
      <c r="AG92" s="1150"/>
      <c r="AH92" s="1150"/>
      <c r="AI92" s="1150"/>
      <c r="AJ92" s="1201"/>
      <c r="AK92" s="1201"/>
      <c r="AL92" s="1201"/>
      <c r="AM92" s="1201"/>
      <c r="AN92" s="1201"/>
      <c r="AO92" s="1201"/>
      <c r="AP92" s="1201"/>
      <c r="AQ92" s="1201"/>
      <c r="AR92" s="1201"/>
      <c r="AS92" s="916"/>
      <c r="AT92" s="1144"/>
      <c r="AU92" s="1204"/>
      <c r="AV92" s="1201"/>
      <c r="AW92" s="1201"/>
      <c r="AX92" s="1201"/>
      <c r="AY92" s="1201"/>
      <c r="AZ92" s="1201"/>
      <c r="BA92" s="1201"/>
      <c r="BB92" s="1203"/>
      <c r="BC92" s="1144"/>
      <c r="BD92" s="1144"/>
      <c r="BE92" s="1144"/>
      <c r="BF92" s="1144"/>
      <c r="BG92" s="1144"/>
      <c r="BH92" s="1144"/>
      <c r="BI92" s="1144"/>
      <c r="BJ92" s="1144"/>
      <c r="BK92" s="1144"/>
      <c r="BL92" s="1144"/>
      <c r="BM92" s="1187" t="s">
        <v>566</v>
      </c>
      <c r="BN92" s="1188">
        <v>13.87710732152442</v>
      </c>
      <c r="BO92" s="1188">
        <v>13.165460792215473</v>
      </c>
      <c r="BP92" s="1188">
        <v>11.742167733597583</v>
      </c>
      <c r="BQ92" s="1188">
        <v>9.6072281456707511</v>
      </c>
      <c r="BR92" s="1189">
        <v>9.6072281456707511</v>
      </c>
      <c r="BS92" s="1148"/>
      <c r="BT92" s="1148"/>
      <c r="BU92" s="1139"/>
    </row>
    <row r="93" spans="1:73" ht="17.45" customHeight="1">
      <c r="A93" s="916"/>
      <c r="B93" s="916"/>
      <c r="C93" s="916"/>
      <c r="D93" s="916"/>
      <c r="E93" s="916"/>
      <c r="F93" s="916"/>
      <c r="G93" s="916"/>
      <c r="H93" s="916"/>
      <c r="I93" s="916"/>
      <c r="J93" s="916"/>
      <c r="K93" s="916"/>
      <c r="L93" s="916"/>
      <c r="M93" s="916"/>
      <c r="N93" s="916"/>
      <c r="O93" s="916"/>
      <c r="P93" s="916"/>
      <c r="Q93" s="916"/>
      <c r="R93" s="916"/>
      <c r="S93" s="916"/>
      <c r="T93" s="916"/>
      <c r="U93" s="916"/>
      <c r="V93" s="916"/>
      <c r="W93" s="1150"/>
      <c r="X93" s="1150"/>
      <c r="Y93" s="1150"/>
      <c r="Z93" s="1150"/>
      <c r="AA93" s="1150"/>
      <c r="AB93" s="1150"/>
      <c r="AC93" s="1150"/>
      <c r="AD93" s="1150"/>
      <c r="AE93" s="1150"/>
      <c r="AF93" s="1150"/>
      <c r="AG93" s="1150"/>
      <c r="AH93" s="1150"/>
      <c r="AI93" s="1150"/>
      <c r="AJ93" s="1201"/>
      <c r="AK93" s="1201"/>
      <c r="AL93" s="1201"/>
      <c r="AM93" s="1201"/>
      <c r="AN93" s="1201"/>
      <c r="AO93" s="1201"/>
      <c r="AP93" s="1201"/>
      <c r="AQ93" s="1201"/>
      <c r="AR93" s="1201"/>
      <c r="AS93" s="916"/>
      <c r="AT93" s="1144"/>
      <c r="AU93" s="1204" t="s">
        <v>620</v>
      </c>
      <c r="AV93" s="1201" t="s">
        <v>619</v>
      </c>
      <c r="AW93" s="1201"/>
      <c r="AX93" s="1201"/>
      <c r="AY93" s="1201"/>
      <c r="AZ93" s="1201"/>
      <c r="BA93" s="1201"/>
      <c r="BB93" s="1203"/>
      <c r="BC93" s="1144"/>
      <c r="BD93" s="1144"/>
      <c r="BE93" s="1144"/>
      <c r="BF93" s="1144"/>
      <c r="BG93" s="1144"/>
      <c r="BH93" s="1144"/>
      <c r="BI93" s="1144"/>
      <c r="BJ93" s="1144"/>
      <c r="BK93" s="1144"/>
      <c r="BL93" s="1144"/>
      <c r="BM93" s="1179" t="s">
        <v>570</v>
      </c>
      <c r="BN93" s="1181"/>
      <c r="BO93" s="1181"/>
      <c r="BP93" s="1182">
        <v>1.4E-2</v>
      </c>
      <c r="BQ93" s="1181"/>
      <c r="BR93" s="1183"/>
      <c r="BS93" s="1148"/>
      <c r="BT93" s="1148"/>
      <c r="BU93" s="1139"/>
    </row>
    <row r="94" spans="1:73" ht="17.45" customHeight="1">
      <c r="A94" s="916"/>
      <c r="B94" s="916"/>
      <c r="C94" s="916"/>
      <c r="D94" s="916"/>
      <c r="E94" s="916"/>
      <c r="F94" s="916"/>
      <c r="G94" s="916"/>
      <c r="H94" s="916"/>
      <c r="I94" s="916"/>
      <c r="J94" s="916"/>
      <c r="K94" s="916"/>
      <c r="L94" s="916"/>
      <c r="M94" s="916"/>
      <c r="N94" s="916"/>
      <c r="O94" s="916"/>
      <c r="P94" s="916"/>
      <c r="Q94" s="916"/>
      <c r="R94" s="916"/>
      <c r="S94" s="916"/>
      <c r="T94" s="916"/>
      <c r="U94" s="916"/>
      <c r="V94" s="916"/>
      <c r="W94" s="1150"/>
      <c r="X94" s="1150"/>
      <c r="Y94" s="1150"/>
      <c r="Z94" s="1150"/>
      <c r="AA94" s="1150"/>
      <c r="AB94" s="1150"/>
      <c r="AC94" s="1150"/>
      <c r="AD94" s="1150"/>
      <c r="AE94" s="1150"/>
      <c r="AF94" s="1150"/>
      <c r="AG94" s="1150"/>
      <c r="AH94" s="1150"/>
      <c r="AI94" s="1150"/>
      <c r="AJ94" s="1205"/>
      <c r="AK94" s="1205"/>
      <c r="AL94" s="1205"/>
      <c r="AM94" s="1205"/>
      <c r="AN94" s="1205"/>
      <c r="AO94" s="1205"/>
      <c r="AP94" s="1205"/>
      <c r="AQ94" s="1205"/>
      <c r="AR94" s="1205"/>
      <c r="AS94" s="916"/>
      <c r="AT94" s="1144"/>
      <c r="AU94" s="1204"/>
      <c r="AV94" s="1205" t="s">
        <v>618</v>
      </c>
      <c r="AW94" s="1201"/>
      <c r="AX94" s="1201"/>
      <c r="AY94" s="1201"/>
      <c r="AZ94" s="1201"/>
      <c r="BA94" s="1201"/>
      <c r="BB94" s="1203"/>
      <c r="BC94" s="1144"/>
      <c r="BD94" s="1144"/>
      <c r="BE94" s="1144"/>
      <c r="BF94" s="1144"/>
      <c r="BG94" s="1144"/>
      <c r="BH94" s="1144"/>
      <c r="BI94" s="1144"/>
      <c r="BJ94" s="1144"/>
      <c r="BK94" s="1144"/>
      <c r="BL94" s="1144"/>
      <c r="BM94" s="1197" t="s">
        <v>606</v>
      </c>
      <c r="BN94" s="1185">
        <v>13.682827819023078</v>
      </c>
      <c r="BO94" s="1185">
        <v>12.981144341124457</v>
      </c>
      <c r="BP94" s="1185">
        <v>11.577777385327217</v>
      </c>
      <c r="BQ94" s="1185">
        <v>9.4727269516313601</v>
      </c>
      <c r="BR94" s="1186">
        <v>9.4727269516313601</v>
      </c>
      <c r="BS94" s="1148"/>
      <c r="BT94" s="1148"/>
      <c r="BU94" s="1139"/>
    </row>
    <row r="95" spans="1:73" ht="17.45" customHeight="1" thickBot="1">
      <c r="A95" s="916"/>
      <c r="B95" s="916"/>
      <c r="C95" s="916"/>
      <c r="D95" s="916"/>
      <c r="E95" s="916"/>
      <c r="F95" s="916"/>
      <c r="G95" s="916"/>
      <c r="H95" s="916"/>
      <c r="I95" s="916"/>
      <c r="J95" s="916"/>
      <c r="K95" s="916"/>
      <c r="L95" s="916"/>
      <c r="M95" s="916"/>
      <c r="N95" s="916"/>
      <c r="O95" s="916"/>
      <c r="P95" s="916"/>
      <c r="Q95" s="916"/>
      <c r="R95" s="916"/>
      <c r="S95" s="916"/>
      <c r="T95" s="916"/>
      <c r="U95" s="916"/>
      <c r="V95" s="916"/>
      <c r="W95" s="1150"/>
      <c r="X95" s="1150"/>
      <c r="Y95" s="1150"/>
      <c r="Z95" s="1150"/>
      <c r="AA95" s="1150"/>
      <c r="AB95" s="1150"/>
      <c r="AC95" s="1150"/>
      <c r="AD95" s="1150"/>
      <c r="AE95" s="1150"/>
      <c r="AF95" s="1150"/>
      <c r="AG95" s="1150"/>
      <c r="AH95" s="1150"/>
      <c r="AI95" s="1150"/>
      <c r="AJ95" s="1205"/>
      <c r="AK95" s="1205"/>
      <c r="AL95" s="1205"/>
      <c r="AM95" s="1205"/>
      <c r="AN95" s="1205"/>
      <c r="AO95" s="1205"/>
      <c r="AP95" s="1205"/>
      <c r="AQ95" s="1205"/>
      <c r="AR95" s="1205"/>
      <c r="AS95" s="916"/>
      <c r="AT95" s="1144"/>
      <c r="AU95" s="1204"/>
      <c r="AV95" s="1205"/>
      <c r="AW95" s="1201"/>
      <c r="AX95" s="1201"/>
      <c r="AY95" s="1201"/>
      <c r="AZ95" s="1201"/>
      <c r="BA95" s="1201"/>
      <c r="BB95" s="1203"/>
      <c r="BC95" s="1144"/>
      <c r="BD95" s="1144"/>
      <c r="BE95" s="1144"/>
      <c r="BF95" s="1144"/>
      <c r="BG95" s="1144"/>
      <c r="BH95" s="1144"/>
      <c r="BI95" s="1144"/>
      <c r="BJ95" s="1144"/>
      <c r="BK95" s="1144"/>
      <c r="BL95" s="1144"/>
      <c r="BM95" s="1187" t="s">
        <v>566</v>
      </c>
      <c r="BN95" s="1188">
        <v>13.682827819023078</v>
      </c>
      <c r="BO95" s="1188">
        <v>12.981144341124457</v>
      </c>
      <c r="BP95" s="1188">
        <v>11.577777385327217</v>
      </c>
      <c r="BQ95" s="1188">
        <v>9.4727269516313601</v>
      </c>
      <c r="BR95" s="1189">
        <v>9.4727269516313601</v>
      </c>
      <c r="BS95" s="1148"/>
      <c r="BT95" s="1148"/>
      <c r="BU95" s="1139"/>
    </row>
    <row r="96" spans="1:73" ht="17.45" customHeight="1" thickBot="1">
      <c r="A96" s="916"/>
      <c r="B96" s="916"/>
      <c r="C96" s="916"/>
      <c r="D96" s="916"/>
      <c r="E96" s="916"/>
      <c r="F96" s="916"/>
      <c r="G96" s="916"/>
      <c r="H96" s="916"/>
      <c r="I96" s="916"/>
      <c r="J96" s="916"/>
      <c r="K96" s="916"/>
      <c r="L96" s="916"/>
      <c r="M96" s="916"/>
      <c r="N96" s="916"/>
      <c r="O96" s="916"/>
      <c r="P96" s="916"/>
      <c r="Q96" s="916"/>
      <c r="R96" s="916"/>
      <c r="S96" s="916"/>
      <c r="T96" s="916"/>
      <c r="U96" s="916"/>
      <c r="V96" s="916"/>
      <c r="W96" s="1150"/>
      <c r="X96" s="1150"/>
      <c r="Y96" s="1150"/>
      <c r="Z96" s="1150"/>
      <c r="AA96" s="1150"/>
      <c r="AB96" s="1150"/>
      <c r="AC96" s="1150"/>
      <c r="AD96" s="1150"/>
      <c r="AE96" s="1150"/>
      <c r="AF96" s="1150"/>
      <c r="AG96" s="1150"/>
      <c r="AH96" s="1150"/>
      <c r="AI96" s="1150"/>
      <c r="AJ96" s="1201"/>
      <c r="AK96" s="1201"/>
      <c r="AL96" s="1201"/>
      <c r="AM96" s="1201"/>
      <c r="AN96" s="1201"/>
      <c r="AO96" s="1201"/>
      <c r="AP96" s="1201"/>
      <c r="AQ96" s="1201"/>
      <c r="AR96" s="1201"/>
      <c r="AS96" s="916"/>
      <c r="AT96" s="1144"/>
      <c r="AU96" s="1204" t="s">
        <v>617</v>
      </c>
      <c r="AV96" s="1201" t="s">
        <v>616</v>
      </c>
      <c r="AW96" s="1201"/>
      <c r="AX96" s="1201"/>
      <c r="AY96" s="1201"/>
      <c r="AZ96" s="1201"/>
      <c r="BA96" s="1201"/>
      <c r="BB96" s="1203"/>
      <c r="BC96" s="1144"/>
      <c r="BD96" s="1144"/>
      <c r="BE96" s="1144"/>
      <c r="BF96" s="1144"/>
      <c r="BG96" s="1144"/>
      <c r="BH96" s="1144"/>
      <c r="BI96" s="1144"/>
      <c r="BJ96" s="1144"/>
      <c r="BK96" s="1144"/>
      <c r="BL96" s="1144"/>
      <c r="BM96" s="1148"/>
      <c r="BN96" s="1148"/>
      <c r="BO96" s="1148"/>
      <c r="BP96" s="1148"/>
      <c r="BQ96" s="1148"/>
      <c r="BR96" s="1148"/>
      <c r="BS96" s="1148"/>
      <c r="BT96" s="1148"/>
      <c r="BU96" s="1139"/>
    </row>
    <row r="97" spans="1:73" ht="17.45" customHeight="1">
      <c r="A97" s="916"/>
      <c r="B97" s="916"/>
      <c r="C97" s="916"/>
      <c r="D97" s="916"/>
      <c r="E97" s="916"/>
      <c r="F97" s="916"/>
      <c r="G97" s="916"/>
      <c r="H97" s="916"/>
      <c r="I97" s="916"/>
      <c r="J97" s="916"/>
      <c r="K97" s="916"/>
      <c r="L97" s="916"/>
      <c r="M97" s="916"/>
      <c r="N97" s="916"/>
      <c r="O97" s="916"/>
      <c r="P97" s="916"/>
      <c r="Q97" s="916"/>
      <c r="R97" s="916"/>
      <c r="S97" s="916"/>
      <c r="T97" s="916"/>
      <c r="U97" s="916"/>
      <c r="V97" s="916"/>
      <c r="W97" s="1150"/>
      <c r="X97" s="1150"/>
      <c r="Y97" s="1150"/>
      <c r="Z97" s="1150"/>
      <c r="AA97" s="1150"/>
      <c r="AB97" s="1150"/>
      <c r="AC97" s="1150"/>
      <c r="AD97" s="1150"/>
      <c r="AE97" s="1150"/>
      <c r="AF97" s="1150"/>
      <c r="AG97" s="1150"/>
      <c r="AH97" s="1150"/>
      <c r="AI97" s="1150"/>
      <c r="AJ97" s="1201"/>
      <c r="AK97" s="1201"/>
      <c r="AL97" s="1201"/>
      <c r="AM97" s="1201"/>
      <c r="AN97" s="1201"/>
      <c r="AO97" s="1201"/>
      <c r="AP97" s="1201"/>
      <c r="AQ97" s="1201"/>
      <c r="AR97" s="1201"/>
      <c r="AS97" s="916"/>
      <c r="AT97" s="1144"/>
      <c r="AU97" s="1204" t="s">
        <v>614</v>
      </c>
      <c r="AV97" s="1201" t="s">
        <v>1195</v>
      </c>
      <c r="AW97" s="1201"/>
      <c r="AX97" s="1201"/>
      <c r="AY97" s="1201"/>
      <c r="AZ97" s="1201"/>
      <c r="BA97" s="1201"/>
      <c r="BB97" s="1203"/>
      <c r="BC97" s="1144"/>
      <c r="BD97" s="1144"/>
      <c r="BE97" s="1144"/>
      <c r="BF97" s="1144"/>
      <c r="BG97" s="1144"/>
      <c r="BH97" s="1144"/>
      <c r="BI97" s="1144"/>
      <c r="BJ97" s="1144"/>
      <c r="BK97" s="1144"/>
      <c r="BL97" s="1144"/>
      <c r="BM97" s="1179" t="s">
        <v>570</v>
      </c>
      <c r="BN97" s="1181"/>
      <c r="BO97" s="1181"/>
      <c r="BP97" s="1182">
        <v>0.01</v>
      </c>
      <c r="BQ97" s="1181"/>
      <c r="BR97" s="1183"/>
      <c r="BS97" s="1148"/>
      <c r="BT97" s="1148"/>
      <c r="BU97" s="1139"/>
    </row>
    <row r="98" spans="1:73" ht="17.45" customHeight="1">
      <c r="A98" s="916"/>
      <c r="B98" s="916"/>
      <c r="C98" s="916"/>
      <c r="D98" s="916"/>
      <c r="E98" s="916"/>
      <c r="F98" s="916"/>
      <c r="G98" s="916"/>
      <c r="H98" s="916"/>
      <c r="I98" s="916"/>
      <c r="J98" s="916"/>
      <c r="K98" s="916"/>
      <c r="L98" s="916"/>
      <c r="M98" s="916"/>
      <c r="N98" s="916"/>
      <c r="O98" s="916"/>
      <c r="P98" s="916"/>
      <c r="Q98" s="916"/>
      <c r="R98" s="916"/>
      <c r="S98" s="916"/>
      <c r="T98" s="916"/>
      <c r="U98" s="916"/>
      <c r="V98" s="916"/>
      <c r="W98" s="1150"/>
      <c r="X98" s="1150"/>
      <c r="Y98" s="1150"/>
      <c r="Z98" s="1150"/>
      <c r="AA98" s="1150"/>
      <c r="AB98" s="1150"/>
      <c r="AC98" s="1150"/>
      <c r="AD98" s="1150"/>
      <c r="AE98" s="1150"/>
      <c r="AF98" s="1150"/>
      <c r="AG98" s="1150"/>
      <c r="AH98" s="1150"/>
      <c r="AI98" s="1150"/>
      <c r="AJ98" s="1201"/>
      <c r="AK98" s="1201"/>
      <c r="AL98" s="1201"/>
      <c r="AM98" s="1201"/>
      <c r="AN98" s="1201"/>
      <c r="AO98" s="1201"/>
      <c r="AP98" s="1201"/>
      <c r="AQ98" s="1201"/>
      <c r="AR98" s="1201"/>
      <c r="AS98" s="916"/>
      <c r="AT98" s="1144"/>
      <c r="AU98" s="1204"/>
      <c r="AV98" s="1201" t="s">
        <v>613</v>
      </c>
      <c r="AW98" s="1201"/>
      <c r="AX98" s="1201"/>
      <c r="AY98" s="1201"/>
      <c r="AZ98" s="1201"/>
      <c r="BA98" s="1201"/>
      <c r="BB98" s="1203"/>
      <c r="BC98" s="1144"/>
      <c r="BD98" s="1144"/>
      <c r="BE98" s="1144"/>
      <c r="BF98" s="1144"/>
      <c r="BG98" s="1144"/>
      <c r="BH98" s="1144"/>
      <c r="BI98" s="1144"/>
      <c r="BJ98" s="1144"/>
      <c r="BK98" s="1144"/>
      <c r="BL98" s="1144"/>
      <c r="BM98" s="1197" t="s">
        <v>600</v>
      </c>
      <c r="BN98" s="1185">
        <v>13.545999540832847</v>
      </c>
      <c r="BO98" s="1185">
        <v>12.851332897713213</v>
      </c>
      <c r="BP98" s="1185">
        <v>11.461999611473944</v>
      </c>
      <c r="BQ98" s="1185">
        <v>9.3779996821150462</v>
      </c>
      <c r="BR98" s="1186">
        <v>9.3779996821150462</v>
      </c>
      <c r="BS98" s="1148"/>
      <c r="BT98" s="1148"/>
      <c r="BU98" s="1139"/>
    </row>
    <row r="99" spans="1:73" ht="17.45" customHeight="1" thickBot="1">
      <c r="A99" s="916"/>
      <c r="B99" s="916"/>
      <c r="C99" s="916"/>
      <c r="D99" s="916"/>
      <c r="E99" s="916"/>
      <c r="F99" s="916"/>
      <c r="G99" s="916"/>
      <c r="H99" s="916"/>
      <c r="I99" s="916"/>
      <c r="J99" s="916"/>
      <c r="K99" s="916"/>
      <c r="L99" s="916"/>
      <c r="M99" s="916"/>
      <c r="N99" s="916"/>
      <c r="O99" s="916"/>
      <c r="P99" s="916"/>
      <c r="Q99" s="916"/>
      <c r="R99" s="916"/>
      <c r="S99" s="916"/>
      <c r="T99" s="916"/>
      <c r="U99" s="916"/>
      <c r="V99" s="916"/>
      <c r="W99" s="1150"/>
      <c r="X99" s="1150"/>
      <c r="Y99" s="1150"/>
      <c r="Z99" s="1150"/>
      <c r="AA99" s="1150"/>
      <c r="AB99" s="1150"/>
      <c r="AC99" s="1150"/>
      <c r="AD99" s="1150"/>
      <c r="AE99" s="1150"/>
      <c r="AF99" s="1150"/>
      <c r="AG99" s="1150"/>
      <c r="AH99" s="1150"/>
      <c r="AI99" s="1150"/>
      <c r="AJ99" s="1201"/>
      <c r="AK99" s="1201"/>
      <c r="AL99" s="1201"/>
      <c r="AM99" s="1201"/>
      <c r="AN99" s="1201"/>
      <c r="AO99" s="1201"/>
      <c r="AP99" s="1201"/>
      <c r="AQ99" s="1201"/>
      <c r="AR99" s="1201"/>
      <c r="AS99" s="916"/>
      <c r="AT99" s="1144"/>
      <c r="AU99" s="1204" t="s">
        <v>612</v>
      </c>
      <c r="AV99" s="1201" t="s">
        <v>611</v>
      </c>
      <c r="AW99" s="1201"/>
      <c r="AX99" s="1201"/>
      <c r="AY99" s="1201"/>
      <c r="AZ99" s="1201"/>
      <c r="BA99" s="1201"/>
      <c r="BB99" s="1203"/>
      <c r="BC99" s="1144"/>
      <c r="BD99" s="1144"/>
      <c r="BE99" s="1144"/>
      <c r="BF99" s="1144"/>
      <c r="BG99" s="1144"/>
      <c r="BH99" s="1144"/>
      <c r="BI99" s="1144"/>
      <c r="BJ99" s="1144"/>
      <c r="BK99" s="1144"/>
      <c r="BL99" s="1144"/>
      <c r="BM99" s="1187" t="s">
        <v>566</v>
      </c>
      <c r="BN99" s="1188">
        <v>13.545999540832847</v>
      </c>
      <c r="BO99" s="1188">
        <v>12.851332897713213</v>
      </c>
      <c r="BP99" s="1188">
        <v>11.461999611473944</v>
      </c>
      <c r="BQ99" s="1188">
        <v>9.3779996821150462</v>
      </c>
      <c r="BR99" s="1189">
        <v>9.3779996821150462</v>
      </c>
      <c r="BS99" s="1148"/>
      <c r="BT99" s="1148"/>
      <c r="BU99" s="1139"/>
    </row>
    <row r="100" spans="1:73" ht="17.45" customHeight="1">
      <c r="A100" s="916"/>
      <c r="B100" s="916"/>
      <c r="C100" s="916"/>
      <c r="D100" s="916"/>
      <c r="E100" s="916"/>
      <c r="F100" s="916"/>
      <c r="G100" s="916"/>
      <c r="H100" s="916"/>
      <c r="I100" s="916"/>
      <c r="J100" s="916"/>
      <c r="K100" s="916"/>
      <c r="L100" s="916"/>
      <c r="M100" s="916"/>
      <c r="N100" s="916"/>
      <c r="O100" s="916"/>
      <c r="P100" s="916"/>
      <c r="Q100" s="916"/>
      <c r="R100" s="916"/>
      <c r="S100" s="916"/>
      <c r="T100" s="916"/>
      <c r="U100" s="916"/>
      <c r="V100" s="916"/>
      <c r="W100" s="1150"/>
      <c r="X100" s="1150"/>
      <c r="Y100" s="1150"/>
      <c r="Z100" s="1150"/>
      <c r="AA100" s="1150"/>
      <c r="AB100" s="1150"/>
      <c r="AC100" s="1150"/>
      <c r="AD100" s="1150"/>
      <c r="AE100" s="1150"/>
      <c r="AF100" s="1150"/>
      <c r="AG100" s="1150"/>
      <c r="AH100" s="1150"/>
      <c r="AI100" s="1150"/>
      <c r="AJ100" s="1201"/>
      <c r="AK100" s="1201"/>
      <c r="AL100" s="1201"/>
      <c r="AM100" s="1201"/>
      <c r="AN100" s="1201"/>
      <c r="AO100" s="1201"/>
      <c r="AP100" s="1201"/>
      <c r="AQ100" s="1201"/>
      <c r="AR100" s="1201"/>
      <c r="AS100" s="916"/>
      <c r="AT100" s="1144"/>
      <c r="AU100" s="1204"/>
      <c r="AV100" s="1201"/>
      <c r="AW100" s="1205" t="s">
        <v>609</v>
      </c>
      <c r="AX100" s="1205"/>
      <c r="AY100" s="1206">
        <v>0.01</v>
      </c>
      <c r="AZ100" s="1201"/>
      <c r="BA100" s="1201"/>
      <c r="BB100" s="1203"/>
      <c r="BC100" s="1144"/>
      <c r="BD100" s="1144"/>
      <c r="BE100" s="1144"/>
      <c r="BF100" s="1144"/>
      <c r="BG100" s="1144"/>
      <c r="BH100" s="1144"/>
      <c r="BI100" s="1144"/>
      <c r="BJ100" s="1144"/>
      <c r="BK100" s="1144"/>
      <c r="BL100" s="1144"/>
      <c r="BM100" s="1179" t="s">
        <v>570</v>
      </c>
      <c r="BN100" s="1181"/>
      <c r="BO100" s="1181"/>
      <c r="BP100" s="1182">
        <v>0.01</v>
      </c>
      <c r="BQ100" s="1181"/>
      <c r="BR100" s="1183"/>
      <c r="BS100" s="1148"/>
      <c r="BT100" s="1148"/>
      <c r="BU100" s="1139"/>
    </row>
    <row r="101" spans="1:73" ht="17.45" customHeight="1">
      <c r="A101" s="916"/>
      <c r="B101" s="916"/>
      <c r="C101" s="916"/>
      <c r="D101" s="916"/>
      <c r="E101" s="916"/>
      <c r="F101" s="916"/>
      <c r="G101" s="916"/>
      <c r="H101" s="916"/>
      <c r="I101" s="916"/>
      <c r="J101" s="916"/>
      <c r="K101" s="916"/>
      <c r="L101" s="916"/>
      <c r="M101" s="916"/>
      <c r="N101" s="916"/>
      <c r="O101" s="916"/>
      <c r="P101" s="916"/>
      <c r="Q101" s="916"/>
      <c r="R101" s="916"/>
      <c r="S101" s="916"/>
      <c r="T101" s="916"/>
      <c r="U101" s="916"/>
      <c r="V101" s="916"/>
      <c r="W101" s="1150"/>
      <c r="X101" s="1150"/>
      <c r="Y101" s="1150"/>
      <c r="Z101" s="1150"/>
      <c r="AA101" s="1150"/>
      <c r="AB101" s="1150"/>
      <c r="AC101" s="1150"/>
      <c r="AD101" s="1150"/>
      <c r="AE101" s="1150"/>
      <c r="AF101" s="1150"/>
      <c r="AG101" s="1150"/>
      <c r="AH101" s="1150"/>
      <c r="AI101" s="1150"/>
      <c r="AJ101" s="1201"/>
      <c r="AK101" s="1201"/>
      <c r="AL101" s="1201"/>
      <c r="AM101" s="1201"/>
      <c r="AN101" s="1201"/>
      <c r="AO101" s="1201"/>
      <c r="AP101" s="1201"/>
      <c r="AQ101" s="1201"/>
      <c r="AR101" s="1201"/>
      <c r="AS101" s="916"/>
      <c r="AT101" s="1144"/>
      <c r="AU101" s="1204"/>
      <c r="AV101" s="1201"/>
      <c r="AW101" s="1205" t="s">
        <v>608</v>
      </c>
      <c r="AX101" s="1205"/>
      <c r="AY101" s="1206">
        <v>1.4E-2</v>
      </c>
      <c r="AZ101" s="1201"/>
      <c r="BA101" s="1201"/>
      <c r="BB101" s="1203"/>
      <c r="BC101" s="1144"/>
      <c r="BD101" s="1144"/>
      <c r="BE101" s="1144"/>
      <c r="BF101" s="1144"/>
      <c r="BG101" s="1144"/>
      <c r="BH101" s="1144"/>
      <c r="BI101" s="1144"/>
      <c r="BJ101" s="1144"/>
      <c r="BK101" s="1144"/>
      <c r="BL101" s="1144"/>
      <c r="BM101" s="1197" t="s">
        <v>595</v>
      </c>
      <c r="BN101" s="1185">
        <v>13.410539545424518</v>
      </c>
      <c r="BO101" s="1185">
        <v>12.722819568736082</v>
      </c>
      <c r="BP101" s="1185">
        <v>11.347379615359204</v>
      </c>
      <c r="BQ101" s="1185">
        <v>9.2842196852938965</v>
      </c>
      <c r="BR101" s="1186">
        <v>9.2842196852938965</v>
      </c>
      <c r="BS101" s="1148"/>
      <c r="BT101" s="1148"/>
      <c r="BU101" s="1139"/>
    </row>
    <row r="102" spans="1:73" ht="17.45" customHeight="1" thickBot="1">
      <c r="A102" s="916"/>
      <c r="B102" s="916"/>
      <c r="C102" s="916"/>
      <c r="D102" s="916"/>
      <c r="E102" s="916"/>
      <c r="F102" s="916"/>
      <c r="G102" s="916"/>
      <c r="H102" s="916"/>
      <c r="I102" s="916"/>
      <c r="J102" s="916"/>
      <c r="K102" s="916"/>
      <c r="L102" s="916"/>
      <c r="M102" s="916"/>
      <c r="N102" s="916"/>
      <c r="O102" s="916"/>
      <c r="P102" s="916"/>
      <c r="Q102" s="916"/>
      <c r="R102" s="916"/>
      <c r="S102" s="916"/>
      <c r="T102" s="916"/>
      <c r="U102" s="916"/>
      <c r="V102" s="916"/>
      <c r="W102" s="1150"/>
      <c r="X102" s="1150"/>
      <c r="Y102" s="1150"/>
      <c r="Z102" s="1150"/>
      <c r="AA102" s="1150"/>
      <c r="AB102" s="1150"/>
      <c r="AC102" s="1150"/>
      <c r="AD102" s="1150"/>
      <c r="AE102" s="1150"/>
      <c r="AF102" s="1150"/>
      <c r="AG102" s="1150"/>
      <c r="AH102" s="1150"/>
      <c r="AI102" s="1150"/>
      <c r="AJ102" s="1201"/>
      <c r="AK102" s="1201"/>
      <c r="AL102" s="1201"/>
      <c r="AM102" s="1201"/>
      <c r="AN102" s="1201"/>
      <c r="AO102" s="1201"/>
      <c r="AP102" s="1201"/>
      <c r="AQ102" s="1201"/>
      <c r="AR102" s="1201"/>
      <c r="AS102" s="916"/>
      <c r="AT102" s="1144"/>
      <c r="AU102" s="1204"/>
      <c r="AV102" s="1201"/>
      <c r="AW102" s="1205" t="s">
        <v>607</v>
      </c>
      <c r="AX102" s="1205"/>
      <c r="AY102" s="1206">
        <v>1.7999999999999999E-2</v>
      </c>
      <c r="AZ102" s="1201"/>
      <c r="BA102" s="1201"/>
      <c r="BB102" s="1203"/>
      <c r="BC102" s="1144"/>
      <c r="BD102" s="1144"/>
      <c r="BE102" s="1144"/>
      <c r="BF102" s="1144"/>
      <c r="BG102" s="1144"/>
      <c r="BH102" s="1144"/>
      <c r="BI102" s="1144"/>
      <c r="BJ102" s="1144"/>
      <c r="BK102" s="1144"/>
      <c r="BL102" s="1144"/>
      <c r="BM102" s="1187" t="s">
        <v>566</v>
      </c>
      <c r="BN102" s="1188">
        <v>13.410539545424518</v>
      </c>
      <c r="BO102" s="1188">
        <v>12.722819568736082</v>
      </c>
      <c r="BP102" s="1188">
        <v>11.347379615359204</v>
      </c>
      <c r="BQ102" s="1188">
        <v>9.2842196852938965</v>
      </c>
      <c r="BR102" s="1189">
        <v>9.2842196852938965</v>
      </c>
      <c r="BS102" s="1148"/>
      <c r="BT102" s="1148"/>
      <c r="BU102" s="1139"/>
    </row>
    <row r="103" spans="1:73" ht="17.45" customHeight="1">
      <c r="A103" s="916"/>
      <c r="B103" s="916"/>
      <c r="C103" s="916"/>
      <c r="D103" s="916"/>
      <c r="E103" s="916"/>
      <c r="F103" s="916"/>
      <c r="G103" s="916"/>
      <c r="H103" s="916"/>
      <c r="I103" s="916"/>
      <c r="J103" s="916"/>
      <c r="K103" s="916"/>
      <c r="L103" s="916"/>
      <c r="M103" s="916"/>
      <c r="N103" s="916"/>
      <c r="O103" s="916"/>
      <c r="P103" s="916"/>
      <c r="Q103" s="916"/>
      <c r="R103" s="916"/>
      <c r="S103" s="916"/>
      <c r="T103" s="916"/>
      <c r="U103" s="916"/>
      <c r="V103" s="916"/>
      <c r="W103" s="1150"/>
      <c r="X103" s="1150"/>
      <c r="Y103" s="1150"/>
      <c r="Z103" s="1150"/>
      <c r="AA103" s="1150"/>
      <c r="AB103" s="1150"/>
      <c r="AC103" s="1150"/>
      <c r="AD103" s="1150"/>
      <c r="AE103" s="1150"/>
      <c r="AF103" s="1150"/>
      <c r="AG103" s="1150"/>
      <c r="AH103" s="1150"/>
      <c r="AI103" s="1150"/>
      <c r="AJ103" s="1201"/>
      <c r="AK103" s="1201"/>
      <c r="AL103" s="1201"/>
      <c r="AM103" s="1201"/>
      <c r="AN103" s="1201"/>
      <c r="AO103" s="1201"/>
      <c r="AP103" s="1201"/>
      <c r="AQ103" s="1201"/>
      <c r="AR103" s="1201"/>
      <c r="AS103" s="916"/>
      <c r="AT103" s="1144"/>
      <c r="AU103" s="1204"/>
      <c r="AV103" s="1201"/>
      <c r="AW103" s="1205" t="s">
        <v>605</v>
      </c>
      <c r="AX103" s="1205"/>
      <c r="AY103" s="1206">
        <v>2.1999999999999999E-2</v>
      </c>
      <c r="AZ103" s="1201"/>
      <c r="BA103" s="1201"/>
      <c r="BB103" s="1203"/>
      <c r="BC103" s="1144"/>
      <c r="BD103" s="1144"/>
      <c r="BE103" s="1144"/>
      <c r="BF103" s="1144"/>
      <c r="BG103" s="1144"/>
      <c r="BH103" s="1144"/>
      <c r="BI103" s="1144"/>
      <c r="BJ103" s="1144"/>
      <c r="BK103" s="1144"/>
      <c r="BL103" s="1144"/>
      <c r="BM103" s="1179" t="s">
        <v>570</v>
      </c>
      <c r="BN103" s="1181"/>
      <c r="BO103" s="1181"/>
      <c r="BP103" s="1182">
        <v>0.01</v>
      </c>
      <c r="BQ103" s="1181"/>
      <c r="BR103" s="1183"/>
      <c r="BS103" s="1148"/>
      <c r="BT103" s="1148"/>
      <c r="BU103" s="1139"/>
    </row>
    <row r="104" spans="1:73" ht="17.45" customHeight="1">
      <c r="A104" s="916"/>
      <c r="B104" s="916"/>
      <c r="C104" s="916"/>
      <c r="D104" s="916"/>
      <c r="E104" s="916"/>
      <c r="F104" s="916"/>
      <c r="G104" s="916"/>
      <c r="H104" s="916"/>
      <c r="I104" s="916"/>
      <c r="J104" s="916"/>
      <c r="K104" s="916"/>
      <c r="L104" s="916"/>
      <c r="M104" s="916"/>
      <c r="N104" s="916"/>
      <c r="O104" s="916"/>
      <c r="P104" s="916"/>
      <c r="Q104" s="916"/>
      <c r="R104" s="916"/>
      <c r="S104" s="916"/>
      <c r="T104" s="916"/>
      <c r="U104" s="916"/>
      <c r="V104" s="916"/>
      <c r="W104" s="1150"/>
      <c r="X104" s="1150"/>
      <c r="Y104" s="1150"/>
      <c r="Z104" s="1150"/>
      <c r="AA104" s="1150"/>
      <c r="AB104" s="1150"/>
      <c r="AC104" s="1150"/>
      <c r="AD104" s="1150"/>
      <c r="AE104" s="1150"/>
      <c r="AF104" s="1150"/>
      <c r="AG104" s="1150"/>
      <c r="AH104" s="1150"/>
      <c r="AI104" s="1150"/>
      <c r="AJ104" s="1201"/>
      <c r="AK104" s="1201"/>
      <c r="AL104" s="1201"/>
      <c r="AM104" s="1201"/>
      <c r="AN104" s="1201"/>
      <c r="AO104" s="1201"/>
      <c r="AP104" s="1201"/>
      <c r="AQ104" s="1201"/>
      <c r="AR104" s="1201"/>
      <c r="AS104" s="916"/>
      <c r="AT104" s="1144"/>
      <c r="AU104" s="1204"/>
      <c r="AV104" s="1201"/>
      <c r="AW104" s="1205" t="s">
        <v>604</v>
      </c>
      <c r="AX104" s="1201"/>
      <c r="AY104" s="1206">
        <v>2.5000000000000001E-2</v>
      </c>
      <c r="AZ104" s="1201"/>
      <c r="BA104" s="1201"/>
      <c r="BB104" s="1203"/>
      <c r="BC104" s="1144"/>
      <c r="BD104" s="1144"/>
      <c r="BE104" s="1144"/>
      <c r="BF104" s="1144"/>
      <c r="BG104" s="1144"/>
      <c r="BH104" s="1144"/>
      <c r="BI104" s="1144"/>
      <c r="BJ104" s="1144"/>
      <c r="BK104" s="1144"/>
      <c r="BL104" s="1144"/>
      <c r="BM104" s="1197" t="s">
        <v>590</v>
      </c>
      <c r="BN104" s="1185">
        <v>13.276434149970273</v>
      </c>
      <c r="BO104" s="1185">
        <v>12.595591373048721</v>
      </c>
      <c r="BP104" s="1185">
        <v>11.233905819205612</v>
      </c>
      <c r="BQ104" s="1185">
        <v>9.191377488440958</v>
      </c>
      <c r="BR104" s="1186">
        <v>9.191377488440958</v>
      </c>
      <c r="BS104" s="1148"/>
      <c r="BT104" s="1148"/>
      <c r="BU104" s="1139"/>
    </row>
    <row r="105" spans="1:73" ht="17.45" customHeight="1" thickBot="1">
      <c r="A105" s="916"/>
      <c r="B105" s="916"/>
      <c r="C105" s="916"/>
      <c r="D105" s="916"/>
      <c r="E105" s="916"/>
      <c r="F105" s="916"/>
      <c r="G105" s="916"/>
      <c r="H105" s="916"/>
      <c r="I105" s="916"/>
      <c r="J105" s="916"/>
      <c r="K105" s="916"/>
      <c r="L105" s="916"/>
      <c r="M105" s="916"/>
      <c r="N105" s="916"/>
      <c r="O105" s="916"/>
      <c r="P105" s="916"/>
      <c r="Q105" s="916"/>
      <c r="R105" s="916"/>
      <c r="S105" s="916"/>
      <c r="T105" s="916"/>
      <c r="U105" s="916"/>
      <c r="V105" s="916"/>
      <c r="W105" s="1150"/>
      <c r="X105" s="1150"/>
      <c r="Y105" s="1150"/>
      <c r="Z105" s="1150"/>
      <c r="AA105" s="1150"/>
      <c r="AB105" s="1150"/>
      <c r="AC105" s="1150"/>
      <c r="AD105" s="1150"/>
      <c r="AE105" s="1150"/>
      <c r="AF105" s="1150"/>
      <c r="AG105" s="1150"/>
      <c r="AH105" s="1150"/>
      <c r="AI105" s="1150"/>
      <c r="AJ105" s="1201"/>
      <c r="AK105" s="1201"/>
      <c r="AL105" s="1201"/>
      <c r="AM105" s="1201"/>
      <c r="AN105" s="1201"/>
      <c r="AO105" s="1201"/>
      <c r="AP105" s="1201"/>
      <c r="AQ105" s="1201"/>
      <c r="AR105" s="1201"/>
      <c r="AS105" s="916"/>
      <c r="AT105" s="1144"/>
      <c r="AU105" s="1204"/>
      <c r="AV105" s="1201"/>
      <c r="AW105" s="1205" t="s">
        <v>603</v>
      </c>
      <c r="AX105" s="1201"/>
      <c r="AY105" s="1206">
        <v>2.8000000000000001E-2</v>
      </c>
      <c r="AZ105" s="1201"/>
      <c r="BA105" s="1201"/>
      <c r="BB105" s="1203"/>
      <c r="BC105" s="1144"/>
      <c r="BD105" s="1144"/>
      <c r="BE105" s="1144"/>
      <c r="BF105" s="1144"/>
      <c r="BG105" s="1144"/>
      <c r="BH105" s="1144"/>
      <c r="BI105" s="1144"/>
      <c r="BJ105" s="1144"/>
      <c r="BK105" s="1144"/>
      <c r="BL105" s="1144"/>
      <c r="BM105" s="1187" t="s">
        <v>566</v>
      </c>
      <c r="BN105" s="1188">
        <v>13.276434149970273</v>
      </c>
      <c r="BO105" s="1188">
        <v>12.595591373048721</v>
      </c>
      <c r="BP105" s="1188">
        <v>11.233905819205612</v>
      </c>
      <c r="BQ105" s="1188">
        <v>9.191377488440958</v>
      </c>
      <c r="BR105" s="1189">
        <v>9.191377488440958</v>
      </c>
      <c r="BS105" s="1148"/>
      <c r="BT105" s="1148"/>
      <c r="BU105" s="1139"/>
    </row>
    <row r="106" spans="1:73" ht="17.45" customHeight="1" thickBot="1">
      <c r="A106" s="916"/>
      <c r="B106" s="916"/>
      <c r="C106" s="916"/>
      <c r="D106" s="916"/>
      <c r="E106" s="916"/>
      <c r="F106" s="916"/>
      <c r="G106" s="916"/>
      <c r="H106" s="916"/>
      <c r="I106" s="916"/>
      <c r="J106" s="916"/>
      <c r="K106" s="916"/>
      <c r="L106" s="916"/>
      <c r="M106" s="916"/>
      <c r="N106" s="916"/>
      <c r="O106" s="916"/>
      <c r="P106" s="916"/>
      <c r="Q106" s="916"/>
      <c r="R106" s="916"/>
      <c r="S106" s="916"/>
      <c r="T106" s="916"/>
      <c r="U106" s="916"/>
      <c r="V106" s="916"/>
      <c r="W106" s="1150"/>
      <c r="X106" s="1150"/>
      <c r="Y106" s="1150"/>
      <c r="Z106" s="1150"/>
      <c r="AA106" s="1150"/>
      <c r="AB106" s="1150"/>
      <c r="AC106" s="1150"/>
      <c r="AD106" s="1150"/>
      <c r="AE106" s="1150"/>
      <c r="AF106" s="1150"/>
      <c r="AG106" s="1150"/>
      <c r="AH106" s="1150"/>
      <c r="AI106" s="1150"/>
      <c r="AJ106" s="1201"/>
      <c r="AK106" s="1201"/>
      <c r="AL106" s="1201"/>
      <c r="AM106" s="1201"/>
      <c r="AN106" s="1201"/>
      <c r="AO106" s="1201"/>
      <c r="AP106" s="1201"/>
      <c r="AQ106" s="1201"/>
      <c r="AR106" s="1201"/>
      <c r="AS106" s="916"/>
      <c r="AT106" s="1144"/>
      <c r="AU106" s="1204" t="s">
        <v>602</v>
      </c>
      <c r="AV106" s="1201" t="s">
        <v>601</v>
      </c>
      <c r="AW106" s="1201"/>
      <c r="AX106" s="1201"/>
      <c r="AY106" s="1201"/>
      <c r="AZ106" s="1201"/>
      <c r="BA106" s="1201"/>
      <c r="BB106" s="1203"/>
      <c r="BC106" s="1144"/>
      <c r="BD106" s="1144"/>
      <c r="BE106" s="1144"/>
      <c r="BF106" s="1144"/>
      <c r="BG106" s="1144"/>
      <c r="BH106" s="1144"/>
      <c r="BI106" s="1144"/>
      <c r="BJ106" s="1144"/>
      <c r="BK106" s="1144"/>
      <c r="BL106" s="1144"/>
      <c r="BM106" s="1148"/>
      <c r="BN106" s="1148"/>
      <c r="BO106" s="1148"/>
      <c r="BP106" s="1148"/>
      <c r="BQ106" s="1148"/>
      <c r="BR106" s="1148"/>
      <c r="BS106" s="1148"/>
      <c r="BT106" s="1148"/>
      <c r="BU106" s="1139"/>
    </row>
    <row r="107" spans="1:73" ht="17.45" customHeight="1">
      <c r="A107" s="916"/>
      <c r="B107" s="916"/>
      <c r="C107" s="916"/>
      <c r="D107" s="916"/>
      <c r="E107" s="916"/>
      <c r="F107" s="916"/>
      <c r="G107" s="916"/>
      <c r="H107" s="916"/>
      <c r="I107" s="916"/>
      <c r="J107" s="916"/>
      <c r="K107" s="916"/>
      <c r="L107" s="916"/>
      <c r="M107" s="916"/>
      <c r="N107" s="916"/>
      <c r="O107" s="916"/>
      <c r="P107" s="916"/>
      <c r="Q107" s="916"/>
      <c r="R107" s="916"/>
      <c r="S107" s="916"/>
      <c r="T107" s="916"/>
      <c r="U107" s="916"/>
      <c r="V107" s="916"/>
      <c r="W107" s="1150"/>
      <c r="X107" s="1150"/>
      <c r="Y107" s="1150"/>
      <c r="Z107" s="1150"/>
      <c r="AA107" s="1150"/>
      <c r="AB107" s="1150"/>
      <c r="AC107" s="1150"/>
      <c r="AD107" s="1150"/>
      <c r="AE107" s="1150"/>
      <c r="AF107" s="1150"/>
      <c r="AG107" s="1150"/>
      <c r="AH107" s="1150"/>
      <c r="AI107" s="1150"/>
      <c r="AJ107" s="1201"/>
      <c r="AK107" s="1201"/>
      <c r="AL107" s="1201"/>
      <c r="AM107" s="1201"/>
      <c r="AN107" s="1201"/>
      <c r="AO107" s="1201"/>
      <c r="AP107" s="1201"/>
      <c r="AQ107" s="1201"/>
      <c r="AR107" s="1201"/>
      <c r="AS107" s="916"/>
      <c r="AT107" s="1144"/>
      <c r="AU107" s="1204"/>
      <c r="AV107" s="1201"/>
      <c r="AW107" s="1205" t="s">
        <v>599</v>
      </c>
      <c r="AX107" s="1201"/>
      <c r="AY107" s="1206">
        <v>2.5000000000000001E-3</v>
      </c>
      <c r="AZ107" s="1201"/>
      <c r="BA107" s="1201"/>
      <c r="BB107" s="1203"/>
      <c r="BC107" s="1144"/>
      <c r="BD107" s="1144"/>
      <c r="BE107" s="1144"/>
      <c r="BF107" s="1144"/>
      <c r="BG107" s="1144"/>
      <c r="BH107" s="1144"/>
      <c r="BI107" s="1144"/>
      <c r="BJ107" s="1144"/>
      <c r="BK107" s="1144"/>
      <c r="BL107" s="1144"/>
      <c r="BM107" s="1179" t="s">
        <v>570</v>
      </c>
      <c r="BN107" s="1181"/>
      <c r="BO107" s="1181"/>
      <c r="BP107" s="1182">
        <v>0.01</v>
      </c>
      <c r="BQ107" s="1181"/>
      <c r="BR107" s="1183"/>
      <c r="BS107" s="1148"/>
      <c r="BT107" s="1148"/>
      <c r="BU107" s="1139"/>
    </row>
    <row r="108" spans="1:73" ht="17.45" customHeight="1">
      <c r="A108" s="916"/>
      <c r="B108" s="916"/>
      <c r="C108" s="916"/>
      <c r="D108" s="916"/>
      <c r="E108" s="916"/>
      <c r="F108" s="916"/>
      <c r="G108" s="916"/>
      <c r="H108" s="916"/>
      <c r="I108" s="916"/>
      <c r="J108" s="916"/>
      <c r="K108" s="916"/>
      <c r="L108" s="916"/>
      <c r="M108" s="916"/>
      <c r="N108" s="916"/>
      <c r="O108" s="916"/>
      <c r="P108" s="916"/>
      <c r="Q108" s="916"/>
      <c r="R108" s="916"/>
      <c r="S108" s="916"/>
      <c r="T108" s="916"/>
      <c r="U108" s="916"/>
      <c r="V108" s="916"/>
      <c r="W108" s="1150"/>
      <c r="X108" s="1150"/>
      <c r="Y108" s="1150"/>
      <c r="Z108" s="1150"/>
      <c r="AA108" s="1150"/>
      <c r="AB108" s="1150"/>
      <c r="AC108" s="1150"/>
      <c r="AD108" s="1150"/>
      <c r="AE108" s="1150"/>
      <c r="AF108" s="1150"/>
      <c r="AG108" s="1150"/>
      <c r="AH108" s="1150"/>
      <c r="AI108" s="1150"/>
      <c r="AJ108" s="1201"/>
      <c r="AK108" s="1201"/>
      <c r="AL108" s="1201"/>
      <c r="AM108" s="1201"/>
      <c r="AN108" s="1201"/>
      <c r="AO108" s="1201"/>
      <c r="AP108" s="1201"/>
      <c r="AQ108" s="1201"/>
      <c r="AR108" s="1201"/>
      <c r="AS108" s="916"/>
      <c r="AT108" s="1144"/>
      <c r="AU108" s="1204"/>
      <c r="AV108" s="1201"/>
      <c r="AW108" s="1205" t="s">
        <v>598</v>
      </c>
      <c r="AX108" s="1201"/>
      <c r="AY108" s="1206">
        <v>0</v>
      </c>
      <c r="AZ108" s="1201"/>
      <c r="BA108" s="1201"/>
      <c r="BB108" s="1203"/>
      <c r="BC108" s="1144"/>
      <c r="BD108" s="1144"/>
      <c r="BE108" s="1144"/>
      <c r="BF108" s="1144"/>
      <c r="BG108" s="1144"/>
      <c r="BH108" s="1144"/>
      <c r="BI108" s="1144"/>
      <c r="BJ108" s="1144"/>
      <c r="BK108" s="1144"/>
      <c r="BL108" s="1144"/>
      <c r="BM108" s="1197" t="s">
        <v>579</v>
      </c>
      <c r="BN108" s="1185">
        <v>13.14366980847057</v>
      </c>
      <c r="BO108" s="1185">
        <v>12.469635459318233</v>
      </c>
      <c r="BP108" s="1185">
        <v>11.121566761013556</v>
      </c>
      <c r="BQ108" s="1185">
        <v>9.099463713556549</v>
      </c>
      <c r="BR108" s="1186">
        <v>9.099463713556549</v>
      </c>
      <c r="BS108" s="1148"/>
      <c r="BT108" s="1148"/>
      <c r="BU108" s="1139"/>
    </row>
    <row r="109" spans="1:73" ht="17.45" customHeight="1" thickBot="1">
      <c r="A109" s="916"/>
      <c r="B109" s="916"/>
      <c r="C109" s="916"/>
      <c r="D109" s="916"/>
      <c r="E109" s="916"/>
      <c r="F109" s="916"/>
      <c r="G109" s="916"/>
      <c r="H109" s="916"/>
      <c r="I109" s="916"/>
      <c r="J109" s="916"/>
      <c r="K109" s="916"/>
      <c r="L109" s="916"/>
      <c r="M109" s="916"/>
      <c r="N109" s="916"/>
      <c r="O109" s="916"/>
      <c r="P109" s="916"/>
      <c r="Q109" s="916"/>
      <c r="R109" s="916"/>
      <c r="S109" s="916"/>
      <c r="T109" s="916"/>
      <c r="U109" s="916"/>
      <c r="V109" s="916"/>
      <c r="W109" s="1150"/>
      <c r="X109" s="1150"/>
      <c r="Y109" s="1150"/>
      <c r="Z109" s="1150"/>
      <c r="AA109" s="1150"/>
      <c r="AB109" s="1150"/>
      <c r="AC109" s="1150"/>
      <c r="AD109" s="1150"/>
      <c r="AE109" s="1150"/>
      <c r="AF109" s="1150"/>
      <c r="AG109" s="1150"/>
      <c r="AH109" s="1150"/>
      <c r="AI109" s="1150"/>
      <c r="AJ109" s="1201"/>
      <c r="AK109" s="1201"/>
      <c r="AL109" s="1201"/>
      <c r="AM109" s="1201"/>
      <c r="AN109" s="1201"/>
      <c r="AO109" s="1201"/>
      <c r="AP109" s="1201"/>
      <c r="AQ109" s="1201"/>
      <c r="AR109" s="1201"/>
      <c r="AS109" s="916"/>
      <c r="AT109" s="1144"/>
      <c r="AU109" s="1204"/>
      <c r="AV109" s="1201"/>
      <c r="AW109" s="1205" t="s">
        <v>597</v>
      </c>
      <c r="AX109" s="1201"/>
      <c r="AY109" s="1207">
        <v>1.4999999999999999E-2</v>
      </c>
      <c r="AZ109" s="1201" t="s">
        <v>596</v>
      </c>
      <c r="BA109" s="1201"/>
      <c r="BB109" s="1203"/>
      <c r="BC109" s="1144"/>
      <c r="BD109" s="1144"/>
      <c r="BE109" s="1144"/>
      <c r="BF109" s="1144"/>
      <c r="BG109" s="1144"/>
      <c r="BH109" s="1144"/>
      <c r="BI109" s="1144"/>
      <c r="BJ109" s="1144"/>
      <c r="BK109" s="1144"/>
      <c r="BL109" s="1144"/>
      <c r="BM109" s="1187" t="s">
        <v>566</v>
      </c>
      <c r="BN109" s="1188">
        <v>13.14366980847057</v>
      </c>
      <c r="BO109" s="1188">
        <v>12.469635459318233</v>
      </c>
      <c r="BP109" s="1188">
        <v>11.121566761013556</v>
      </c>
      <c r="BQ109" s="1188">
        <v>9.099463713556549</v>
      </c>
      <c r="BR109" s="1189">
        <v>9.099463713556549</v>
      </c>
      <c r="BS109" s="1148"/>
      <c r="BT109" s="1148"/>
      <c r="BU109" s="1139"/>
    </row>
    <row r="110" spans="1:73" ht="17.45" customHeight="1">
      <c r="A110" s="916"/>
      <c r="B110" s="916"/>
      <c r="C110" s="916"/>
      <c r="D110" s="916"/>
      <c r="E110" s="916"/>
      <c r="F110" s="916"/>
      <c r="G110" s="916"/>
      <c r="H110" s="916"/>
      <c r="I110" s="916"/>
      <c r="J110" s="916"/>
      <c r="K110" s="916"/>
      <c r="L110" s="916"/>
      <c r="M110" s="916"/>
      <c r="N110" s="916"/>
      <c r="O110" s="916"/>
      <c r="P110" s="916"/>
      <c r="Q110" s="916"/>
      <c r="R110" s="916"/>
      <c r="S110" s="916"/>
      <c r="T110" s="916"/>
      <c r="U110" s="916"/>
      <c r="V110" s="916"/>
      <c r="W110" s="1150"/>
      <c r="X110" s="1150"/>
      <c r="Y110" s="1150"/>
      <c r="Z110" s="1150"/>
      <c r="AA110" s="1150"/>
      <c r="AB110" s="1150"/>
      <c r="AC110" s="1150"/>
      <c r="AD110" s="1150"/>
      <c r="AE110" s="1150"/>
      <c r="AF110" s="1150"/>
      <c r="AG110" s="1150"/>
      <c r="AH110" s="1150"/>
      <c r="AI110" s="1150"/>
      <c r="AJ110" s="1201"/>
      <c r="AK110" s="1201"/>
      <c r="AL110" s="1201"/>
      <c r="AM110" s="1201"/>
      <c r="AN110" s="1201"/>
      <c r="AO110" s="1201"/>
      <c r="AP110" s="1201"/>
      <c r="AQ110" s="1201"/>
      <c r="AR110" s="1201"/>
      <c r="AS110" s="916"/>
      <c r="AT110" s="1144"/>
      <c r="AU110" s="1204" t="s">
        <v>594</v>
      </c>
      <c r="AV110" s="1201" t="s">
        <v>593</v>
      </c>
      <c r="AW110" s="1205"/>
      <c r="AX110" s="1201"/>
      <c r="AY110" s="1206"/>
      <c r="AZ110" s="1201"/>
      <c r="BA110" s="1201"/>
      <c r="BB110" s="1203"/>
      <c r="BC110" s="1144"/>
      <c r="BD110" s="1144"/>
      <c r="BE110" s="1144"/>
      <c r="BF110" s="1144"/>
      <c r="BG110" s="1144"/>
      <c r="BH110" s="1144"/>
      <c r="BI110" s="1144"/>
      <c r="BJ110" s="1144"/>
      <c r="BK110" s="1144"/>
      <c r="BL110" s="1144"/>
      <c r="BM110" s="1179" t="s">
        <v>570</v>
      </c>
      <c r="BN110" s="1181"/>
      <c r="BO110" s="1181"/>
      <c r="BP110" s="1182">
        <v>0.01</v>
      </c>
      <c r="BQ110" s="1181"/>
      <c r="BR110" s="1183"/>
      <c r="BS110" s="1148"/>
      <c r="BT110" s="1148"/>
      <c r="BU110" s="1139"/>
    </row>
    <row r="111" spans="1:73" ht="17.45" customHeight="1">
      <c r="A111" s="916"/>
      <c r="B111" s="916"/>
      <c r="C111" s="916"/>
      <c r="D111" s="916"/>
      <c r="E111" s="916"/>
      <c r="F111" s="916"/>
      <c r="G111" s="916"/>
      <c r="H111" s="916"/>
      <c r="I111" s="916"/>
      <c r="J111" s="916"/>
      <c r="K111" s="916"/>
      <c r="L111" s="916"/>
      <c r="M111" s="916"/>
      <c r="N111" s="916"/>
      <c r="O111" s="916"/>
      <c r="P111" s="916"/>
      <c r="Q111" s="916"/>
      <c r="R111" s="916"/>
      <c r="S111" s="916"/>
      <c r="T111" s="916"/>
      <c r="U111" s="916"/>
      <c r="V111" s="916"/>
      <c r="W111" s="1150"/>
      <c r="X111" s="1150"/>
      <c r="Y111" s="1150"/>
      <c r="Z111" s="1150"/>
      <c r="AA111" s="1150"/>
      <c r="AB111" s="1150"/>
      <c r="AC111" s="1150"/>
      <c r="AD111" s="1150"/>
      <c r="AE111" s="1150"/>
      <c r="AF111" s="1150"/>
      <c r="AG111" s="1150"/>
      <c r="AH111" s="1150"/>
      <c r="AI111" s="1150"/>
      <c r="AJ111" s="1201"/>
      <c r="AK111" s="1201"/>
      <c r="AL111" s="1201"/>
      <c r="AM111" s="1201"/>
      <c r="AN111" s="1201"/>
      <c r="AO111" s="1201"/>
      <c r="AP111" s="1201"/>
      <c r="AQ111" s="1201"/>
      <c r="AR111" s="1201"/>
      <c r="AS111" s="916"/>
      <c r="AT111" s="1144"/>
      <c r="AU111" s="1204" t="s">
        <v>592</v>
      </c>
      <c r="AV111" s="1201" t="s">
        <v>591</v>
      </c>
      <c r="AW111" s="1201"/>
      <c r="AX111" s="1201"/>
      <c r="AY111" s="1201"/>
      <c r="AZ111" s="1201"/>
      <c r="BA111" s="1201"/>
      <c r="BB111" s="1203"/>
      <c r="BC111" s="1144"/>
      <c r="BD111" s="1144"/>
      <c r="BE111" s="1144"/>
      <c r="BF111" s="1144"/>
      <c r="BG111" s="1144"/>
      <c r="BH111" s="1144"/>
      <c r="BI111" s="1144"/>
      <c r="BJ111" s="1144"/>
      <c r="BK111" s="1144"/>
      <c r="BL111" s="1144"/>
      <c r="BM111" s="1197" t="s">
        <v>574</v>
      </c>
      <c r="BN111" s="1185">
        <v>13.012233110385864</v>
      </c>
      <c r="BO111" s="1185">
        <v>12.344939104725052</v>
      </c>
      <c r="BP111" s="1185">
        <v>11.01035109340342</v>
      </c>
      <c r="BQ111" s="1185">
        <v>9.0084690764209832</v>
      </c>
      <c r="BR111" s="1186">
        <v>9.0084690764209832</v>
      </c>
      <c r="BS111" s="1148"/>
      <c r="BT111" s="1148"/>
      <c r="BU111" s="1139"/>
    </row>
    <row r="112" spans="1:73" ht="17.45" customHeight="1" thickBot="1">
      <c r="A112" s="916"/>
      <c r="B112" s="916"/>
      <c r="C112" s="916"/>
      <c r="D112" s="916"/>
      <c r="E112" s="916"/>
      <c r="F112" s="916"/>
      <c r="G112" s="916"/>
      <c r="H112" s="916"/>
      <c r="I112" s="916"/>
      <c r="J112" s="916"/>
      <c r="K112" s="916"/>
      <c r="L112" s="916"/>
      <c r="M112" s="916"/>
      <c r="N112" s="916"/>
      <c r="O112" s="916"/>
      <c r="P112" s="916"/>
      <c r="Q112" s="916"/>
      <c r="R112" s="916"/>
      <c r="S112" s="916"/>
      <c r="T112" s="916"/>
      <c r="U112" s="916"/>
      <c r="V112" s="916"/>
      <c r="W112" s="1150"/>
      <c r="X112" s="1150"/>
      <c r="Y112" s="1150"/>
      <c r="Z112" s="1150"/>
      <c r="AA112" s="1150"/>
      <c r="AB112" s="1150"/>
      <c r="AC112" s="1150"/>
      <c r="AD112" s="1150"/>
      <c r="AE112" s="1150"/>
      <c r="AF112" s="1150"/>
      <c r="AG112" s="1150"/>
      <c r="AH112" s="1150"/>
      <c r="AI112" s="1150"/>
      <c r="AJ112" s="1205"/>
      <c r="AK112" s="1205"/>
      <c r="AL112" s="1205"/>
      <c r="AM112" s="1205"/>
      <c r="AN112" s="1205"/>
      <c r="AO112" s="1205"/>
      <c r="AP112" s="1205"/>
      <c r="AQ112" s="1205"/>
      <c r="AR112" s="1205"/>
      <c r="AS112" s="916"/>
      <c r="AT112" s="1144"/>
      <c r="AU112" s="1204"/>
      <c r="AV112" s="1205"/>
      <c r="AW112" s="1201"/>
      <c r="AX112" s="1201"/>
      <c r="AY112" s="1201"/>
      <c r="AZ112" s="1201"/>
      <c r="BA112" s="1201"/>
      <c r="BB112" s="1203"/>
      <c r="BC112" s="1144"/>
      <c r="BD112" s="1144"/>
      <c r="BE112" s="1144"/>
      <c r="BF112" s="1144"/>
      <c r="BG112" s="1144"/>
      <c r="BH112" s="1144"/>
      <c r="BI112" s="1144"/>
      <c r="BJ112" s="1144"/>
      <c r="BK112" s="1144"/>
      <c r="BL112" s="1144"/>
      <c r="BM112" s="1187" t="s">
        <v>566</v>
      </c>
      <c r="BN112" s="1188">
        <v>13.012233110385864</v>
      </c>
      <c r="BO112" s="1188">
        <v>12.344939104725052</v>
      </c>
      <c r="BP112" s="1188">
        <v>11.01035109340342</v>
      </c>
      <c r="BQ112" s="1188">
        <v>9.0084690764209832</v>
      </c>
      <c r="BR112" s="1189">
        <v>9.0084690764209832</v>
      </c>
      <c r="BS112" s="1148"/>
      <c r="BT112" s="1148"/>
      <c r="BU112" s="1139"/>
    </row>
    <row r="113" spans="1:73" ht="17.45" customHeight="1">
      <c r="A113" s="916"/>
      <c r="B113" s="916"/>
      <c r="C113" s="916"/>
      <c r="D113" s="916"/>
      <c r="E113" s="916"/>
      <c r="F113" s="916"/>
      <c r="G113" s="916"/>
      <c r="H113" s="916"/>
      <c r="I113" s="916"/>
      <c r="J113" s="916"/>
      <c r="K113" s="916"/>
      <c r="L113" s="916"/>
      <c r="M113" s="916"/>
      <c r="N113" s="916"/>
      <c r="O113" s="916"/>
      <c r="P113" s="916"/>
      <c r="Q113" s="916"/>
      <c r="R113" s="916"/>
      <c r="S113" s="916"/>
      <c r="T113" s="916"/>
      <c r="U113" s="916"/>
      <c r="V113" s="916"/>
      <c r="W113" s="1150"/>
      <c r="X113" s="1150"/>
      <c r="Y113" s="1150"/>
      <c r="Z113" s="1150"/>
      <c r="AA113" s="1150"/>
      <c r="AB113" s="1150"/>
      <c r="AC113" s="1150"/>
      <c r="AD113" s="1150"/>
      <c r="AE113" s="1150"/>
      <c r="AF113" s="1150"/>
      <c r="AG113" s="1150"/>
      <c r="AH113" s="1150"/>
      <c r="AI113" s="1150"/>
      <c r="AJ113" s="1201"/>
      <c r="AK113" s="1201"/>
      <c r="AL113" s="1201"/>
      <c r="AM113" s="1201"/>
      <c r="AN113" s="1201"/>
      <c r="AO113" s="1201"/>
      <c r="AP113" s="1201"/>
      <c r="AQ113" s="1201"/>
      <c r="AR113" s="1201"/>
      <c r="AS113" s="916"/>
      <c r="AT113" s="1144"/>
      <c r="AU113" s="1204" t="s">
        <v>589</v>
      </c>
      <c r="AV113" s="1201" t="s">
        <v>588</v>
      </c>
      <c r="AW113" s="1201"/>
      <c r="AX113" s="1201"/>
      <c r="AY113" s="1201"/>
      <c r="AZ113" s="1201"/>
      <c r="BA113" s="1201"/>
      <c r="BB113" s="1203"/>
      <c r="BC113" s="1144"/>
      <c r="BD113" s="1144"/>
      <c r="BE113" s="1144"/>
      <c r="BF113" s="1144"/>
      <c r="BG113" s="1144"/>
      <c r="BH113" s="1144"/>
      <c r="BI113" s="1144"/>
      <c r="BJ113" s="1144"/>
      <c r="BK113" s="1144"/>
      <c r="BL113" s="1144"/>
      <c r="BM113" s="1179" t="s">
        <v>570</v>
      </c>
      <c r="BN113" s="1181"/>
      <c r="BO113" s="1181"/>
      <c r="BP113" s="1182">
        <v>0.01</v>
      </c>
      <c r="BQ113" s="1181"/>
      <c r="BR113" s="1183"/>
      <c r="BS113" s="1148"/>
      <c r="BT113" s="1148"/>
      <c r="BU113" s="1139"/>
    </row>
    <row r="114" spans="1:73" ht="17.45" customHeight="1">
      <c r="A114" s="916"/>
      <c r="B114" s="916"/>
      <c r="C114" s="916"/>
      <c r="D114" s="916"/>
      <c r="E114" s="916"/>
      <c r="F114" s="916"/>
      <c r="G114" s="916"/>
      <c r="H114" s="916"/>
      <c r="I114" s="916"/>
      <c r="J114" s="916"/>
      <c r="K114" s="916"/>
      <c r="L114" s="916"/>
      <c r="M114" s="916"/>
      <c r="N114" s="916"/>
      <c r="O114" s="916"/>
      <c r="P114" s="916"/>
      <c r="Q114" s="916"/>
      <c r="R114" s="916"/>
      <c r="S114" s="916"/>
      <c r="T114" s="916"/>
      <c r="U114" s="916"/>
      <c r="V114" s="916"/>
      <c r="W114" s="1150"/>
      <c r="X114" s="1150"/>
      <c r="Y114" s="1150"/>
      <c r="Z114" s="1150"/>
      <c r="AA114" s="1150"/>
      <c r="AB114" s="1150"/>
      <c r="AC114" s="1150"/>
      <c r="AD114" s="1150"/>
      <c r="AE114" s="1150"/>
      <c r="AF114" s="1150"/>
      <c r="AG114" s="1150"/>
      <c r="AH114" s="1150"/>
      <c r="AI114" s="1150"/>
      <c r="AJ114" s="1201"/>
      <c r="AK114" s="1201"/>
      <c r="AL114" s="1201"/>
      <c r="AM114" s="1201"/>
      <c r="AN114" s="1201"/>
      <c r="AO114" s="1201"/>
      <c r="AP114" s="1201"/>
      <c r="AQ114" s="1201"/>
      <c r="AR114" s="1201"/>
      <c r="AS114" s="916"/>
      <c r="AT114" s="1144"/>
      <c r="AU114" s="1204" t="s">
        <v>587</v>
      </c>
      <c r="AV114" s="1201" t="s">
        <v>586</v>
      </c>
      <c r="AW114" s="1201"/>
      <c r="AX114" s="1205" t="s">
        <v>585</v>
      </c>
      <c r="AY114" s="1205"/>
      <c r="AZ114" s="1205" t="s">
        <v>584</v>
      </c>
      <c r="BA114" s="1201"/>
      <c r="BB114" s="1203"/>
      <c r="BC114" s="1144"/>
      <c r="BD114" s="1144"/>
      <c r="BE114" s="1144"/>
      <c r="BF114" s="1144"/>
      <c r="BG114" s="1144"/>
      <c r="BH114" s="1144"/>
      <c r="BI114" s="1144"/>
      <c r="BJ114" s="1144"/>
      <c r="BK114" s="1144"/>
      <c r="BL114" s="1144"/>
      <c r="BM114" s="1197" t="s">
        <v>568</v>
      </c>
      <c r="BN114" s="1185">
        <v>12.882110779282005</v>
      </c>
      <c r="BO114" s="1185">
        <v>12.221489713677801</v>
      </c>
      <c r="BP114" s="1185">
        <v>10.900247582469385</v>
      </c>
      <c r="BQ114" s="1185">
        <v>8.9183843856567737</v>
      </c>
      <c r="BR114" s="1186">
        <v>8.9183843856567737</v>
      </c>
      <c r="BS114" s="1148"/>
      <c r="BT114" s="1148"/>
      <c r="BU114" s="1139"/>
    </row>
    <row r="115" spans="1:73" ht="17.45" customHeight="1" thickBot="1">
      <c r="A115" s="916"/>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1150"/>
      <c r="X115" s="1150"/>
      <c r="Y115" s="1150"/>
      <c r="Z115" s="1150"/>
      <c r="AA115" s="1150"/>
      <c r="AB115" s="1150"/>
      <c r="AC115" s="1150"/>
      <c r="AD115" s="1150"/>
      <c r="AE115" s="1150"/>
      <c r="AF115" s="1150"/>
      <c r="AG115" s="1150"/>
      <c r="AH115" s="1150"/>
      <c r="AI115" s="1150"/>
      <c r="AJ115" s="1201"/>
      <c r="AK115" s="1201"/>
      <c r="AL115" s="1201"/>
      <c r="AM115" s="1201"/>
      <c r="AN115" s="1201"/>
      <c r="AO115" s="1201"/>
      <c r="AP115" s="1201"/>
      <c r="AQ115" s="1201"/>
      <c r="AR115" s="1201"/>
      <c r="AS115" s="916"/>
      <c r="AT115" s="1144"/>
      <c r="AU115" s="1204"/>
      <c r="AV115" s="1201"/>
      <c r="AW115" s="1201"/>
      <c r="AX115" s="1205" t="s">
        <v>583</v>
      </c>
      <c r="AY115" s="1205"/>
      <c r="AZ115" s="1205" t="s">
        <v>582</v>
      </c>
      <c r="BA115" s="1201"/>
      <c r="BB115" s="1203"/>
      <c r="BC115" s="1144"/>
      <c r="BD115" s="1144"/>
      <c r="BE115" s="1144"/>
      <c r="BF115" s="1144"/>
      <c r="BG115" s="1144"/>
      <c r="BH115" s="1144"/>
      <c r="BI115" s="1144"/>
      <c r="BJ115" s="1144"/>
      <c r="BK115" s="1144"/>
      <c r="BL115" s="1144"/>
      <c r="BM115" s="1187" t="s">
        <v>566</v>
      </c>
      <c r="BN115" s="1188">
        <v>12.882110779282005</v>
      </c>
      <c r="BO115" s="1188">
        <v>12.221489713677801</v>
      </c>
      <c r="BP115" s="1188">
        <v>10.900247582469385</v>
      </c>
      <c r="BQ115" s="1188">
        <v>8.9183843856567737</v>
      </c>
      <c r="BR115" s="1189">
        <v>8.9183843856567737</v>
      </c>
      <c r="BS115" s="1148"/>
      <c r="BT115" s="1148"/>
      <c r="BU115" s="1139"/>
    </row>
    <row r="116" spans="1:73" ht="17.45" customHeight="1">
      <c r="A116" s="916"/>
      <c r="B116" s="916"/>
      <c r="C116" s="916"/>
      <c r="D116" s="916"/>
      <c r="E116" s="916"/>
      <c r="F116" s="916"/>
      <c r="G116" s="916"/>
      <c r="H116" s="916"/>
      <c r="I116" s="916"/>
      <c r="J116" s="916"/>
      <c r="K116" s="916"/>
      <c r="L116" s="916"/>
      <c r="M116" s="916"/>
      <c r="N116" s="916"/>
      <c r="O116" s="916"/>
      <c r="P116" s="916"/>
      <c r="Q116" s="916"/>
      <c r="R116" s="916"/>
      <c r="S116" s="916"/>
      <c r="T116" s="916"/>
      <c r="U116" s="916"/>
      <c r="V116" s="916"/>
      <c r="W116" s="1150"/>
      <c r="X116" s="1150"/>
      <c r="Y116" s="1150"/>
      <c r="Z116" s="1150"/>
      <c r="AA116" s="1150"/>
      <c r="AB116" s="1150"/>
      <c r="AC116" s="1150"/>
      <c r="AD116" s="1150"/>
      <c r="AE116" s="1150"/>
      <c r="AF116" s="1150"/>
      <c r="AG116" s="1150"/>
      <c r="AH116" s="1150"/>
      <c r="AI116" s="1150"/>
      <c r="AJ116" s="1201"/>
      <c r="AK116" s="1201"/>
      <c r="AL116" s="1201"/>
      <c r="AM116" s="1201"/>
      <c r="AN116" s="1201"/>
      <c r="AO116" s="1201"/>
      <c r="AP116" s="1201"/>
      <c r="AQ116" s="1201"/>
      <c r="AR116" s="1201"/>
      <c r="AS116" s="916"/>
      <c r="AT116" s="1144"/>
      <c r="AU116" s="1204" t="s">
        <v>581</v>
      </c>
      <c r="AV116" s="1201" t="s">
        <v>580</v>
      </c>
      <c r="AW116" s="1201"/>
      <c r="AX116" s="1201"/>
      <c r="AY116" s="1201"/>
      <c r="AZ116" s="1201"/>
      <c r="BA116" s="1201"/>
      <c r="BB116" s="1203"/>
      <c r="BC116" s="1144"/>
      <c r="BD116" s="1144"/>
      <c r="BE116" s="1144"/>
      <c r="BF116" s="1144"/>
      <c r="BG116" s="1144"/>
      <c r="BH116" s="1144"/>
      <c r="BI116" s="1144"/>
      <c r="BJ116" s="1144"/>
      <c r="BK116" s="1144"/>
      <c r="BL116" s="1144"/>
      <c r="BM116" s="1148"/>
      <c r="BN116" s="1148"/>
      <c r="BO116" s="1148"/>
      <c r="BP116" s="1148"/>
      <c r="BQ116" s="1148"/>
      <c r="BR116" s="1148"/>
      <c r="BS116" s="1148"/>
      <c r="BT116" s="1148"/>
      <c r="BU116" s="1139"/>
    </row>
    <row r="117" spans="1:73" ht="17.45" customHeight="1">
      <c r="A117" s="916"/>
      <c r="B117" s="916"/>
      <c r="C117" s="916"/>
      <c r="D117" s="916"/>
      <c r="E117" s="916"/>
      <c r="F117" s="916"/>
      <c r="G117" s="916"/>
      <c r="H117" s="916"/>
      <c r="I117" s="916"/>
      <c r="J117" s="916"/>
      <c r="K117" s="916"/>
      <c r="L117" s="916"/>
      <c r="M117" s="916"/>
      <c r="N117" s="916"/>
      <c r="O117" s="916"/>
      <c r="P117" s="916"/>
      <c r="Q117" s="916"/>
      <c r="R117" s="916"/>
      <c r="S117" s="916"/>
      <c r="T117" s="916"/>
      <c r="U117" s="916"/>
      <c r="V117" s="916"/>
      <c r="W117" s="1150"/>
      <c r="X117" s="1150"/>
      <c r="Y117" s="1150"/>
      <c r="Z117" s="1150"/>
      <c r="AA117" s="1150"/>
      <c r="AB117" s="1150"/>
      <c r="AC117" s="1150"/>
      <c r="AD117" s="1150"/>
      <c r="AE117" s="1150"/>
      <c r="AF117" s="1150"/>
      <c r="AG117" s="1150"/>
      <c r="AH117" s="1150"/>
      <c r="AI117" s="1150"/>
      <c r="AJ117" s="1201"/>
      <c r="AK117" s="1201"/>
      <c r="AL117" s="1201"/>
      <c r="AM117" s="1201"/>
      <c r="AN117" s="1201"/>
      <c r="AO117" s="1201"/>
      <c r="AP117" s="1201"/>
      <c r="AQ117" s="1201"/>
      <c r="AR117" s="1201"/>
      <c r="AS117" s="916"/>
      <c r="AT117" s="1144"/>
      <c r="AU117" s="1204"/>
      <c r="AV117" s="1201" t="s">
        <v>578</v>
      </c>
      <c r="AW117" s="1201"/>
      <c r="AX117" s="1201"/>
      <c r="AY117" s="1205" t="s">
        <v>577</v>
      </c>
      <c r="AZ117" s="1201"/>
      <c r="BA117" s="1201"/>
      <c r="BB117" s="1203"/>
      <c r="BC117" s="1144"/>
      <c r="BD117" s="1144"/>
      <c r="BE117" s="1144"/>
      <c r="BF117" s="1144"/>
      <c r="BG117" s="1144"/>
      <c r="BH117" s="1144"/>
      <c r="BI117" s="1144"/>
      <c r="BJ117" s="1144"/>
      <c r="BK117" s="1144"/>
      <c r="BL117" s="1144"/>
      <c r="BM117" s="1148"/>
      <c r="BN117" s="1148"/>
      <c r="BO117" s="1148"/>
      <c r="BP117" s="1148"/>
      <c r="BQ117" s="1148"/>
      <c r="BR117" s="1148"/>
      <c r="BS117" s="1148"/>
      <c r="BT117" s="1148"/>
      <c r="BU117" s="1139"/>
    </row>
    <row r="118" spans="1:73" ht="17.45" customHeight="1">
      <c r="A118" s="916"/>
      <c r="B118" s="916"/>
      <c r="C118" s="916"/>
      <c r="D118" s="916"/>
      <c r="E118" s="916"/>
      <c r="F118" s="916"/>
      <c r="G118" s="916"/>
      <c r="H118" s="916"/>
      <c r="I118" s="916"/>
      <c r="J118" s="916"/>
      <c r="K118" s="916"/>
      <c r="L118" s="916"/>
      <c r="M118" s="916"/>
      <c r="N118" s="916"/>
      <c r="O118" s="916"/>
      <c r="P118" s="916"/>
      <c r="Q118" s="916"/>
      <c r="R118" s="916"/>
      <c r="S118" s="916"/>
      <c r="T118" s="916"/>
      <c r="U118" s="916"/>
      <c r="V118" s="916"/>
      <c r="W118" s="1150"/>
      <c r="X118" s="1150"/>
      <c r="Y118" s="1150"/>
      <c r="Z118" s="1150"/>
      <c r="AA118" s="1150"/>
      <c r="AB118" s="1150"/>
      <c r="AC118" s="1150"/>
      <c r="AD118" s="1150"/>
      <c r="AE118" s="1150"/>
      <c r="AF118" s="1150"/>
      <c r="AG118" s="1150"/>
      <c r="AH118" s="1150"/>
      <c r="AI118" s="1150"/>
      <c r="AJ118" s="1205"/>
      <c r="AK118" s="1205"/>
      <c r="AL118" s="1205"/>
      <c r="AM118" s="1205"/>
      <c r="AN118" s="1205"/>
      <c r="AO118" s="1205"/>
      <c r="AP118" s="1205"/>
      <c r="AQ118" s="1205"/>
      <c r="AR118" s="1205"/>
      <c r="AS118" s="916"/>
      <c r="AT118" s="1144"/>
      <c r="AU118" s="1204"/>
      <c r="AV118" s="1205"/>
      <c r="AW118" s="1201"/>
      <c r="AX118" s="1201"/>
      <c r="AY118" s="1201"/>
      <c r="AZ118" s="1201"/>
      <c r="BA118" s="1201"/>
      <c r="BB118" s="1203"/>
      <c r="BC118" s="1144"/>
      <c r="BD118" s="1144"/>
      <c r="BE118" s="1144"/>
      <c r="BF118" s="1144"/>
      <c r="BG118" s="1144"/>
      <c r="BH118" s="1144"/>
      <c r="BI118" s="1144"/>
      <c r="BJ118" s="1144"/>
      <c r="BK118" s="1144"/>
      <c r="BL118" s="1144"/>
      <c r="BM118" s="1148"/>
      <c r="BN118" s="1148"/>
      <c r="BO118" s="1148"/>
      <c r="BP118" s="1148"/>
      <c r="BQ118" s="1148"/>
      <c r="BR118" s="1148"/>
      <c r="BS118" s="1148"/>
      <c r="BT118" s="1148"/>
      <c r="BU118" s="1139"/>
    </row>
    <row r="119" spans="1:73" ht="17.45" customHeight="1">
      <c r="A119" s="916"/>
      <c r="B119" s="916"/>
      <c r="C119" s="916"/>
      <c r="D119" s="916"/>
      <c r="E119" s="916"/>
      <c r="F119" s="916"/>
      <c r="G119" s="916"/>
      <c r="H119" s="916"/>
      <c r="I119" s="916"/>
      <c r="J119" s="916"/>
      <c r="K119" s="916"/>
      <c r="L119" s="916"/>
      <c r="M119" s="916"/>
      <c r="N119" s="916"/>
      <c r="O119" s="916"/>
      <c r="P119" s="916"/>
      <c r="Q119" s="916"/>
      <c r="R119" s="916"/>
      <c r="S119" s="916"/>
      <c r="T119" s="916"/>
      <c r="U119" s="916"/>
      <c r="V119" s="916"/>
      <c r="W119" s="1150"/>
      <c r="X119" s="1150"/>
      <c r="Y119" s="1150"/>
      <c r="Z119" s="1150"/>
      <c r="AA119" s="1150"/>
      <c r="AB119" s="1150"/>
      <c r="AC119" s="1150"/>
      <c r="AD119" s="1150"/>
      <c r="AE119" s="1150"/>
      <c r="AF119" s="1150"/>
      <c r="AG119" s="1150"/>
      <c r="AH119" s="1150"/>
      <c r="AI119" s="1150"/>
      <c r="AJ119" s="1201"/>
      <c r="AK119" s="1201"/>
      <c r="AL119" s="1201"/>
      <c r="AM119" s="1201"/>
      <c r="AN119" s="1201"/>
      <c r="AO119" s="1201"/>
      <c r="AP119" s="1201"/>
      <c r="AQ119" s="1201"/>
      <c r="AR119" s="1201"/>
      <c r="AS119" s="916"/>
      <c r="AT119" s="1144"/>
      <c r="AU119" s="1204" t="s">
        <v>576</v>
      </c>
      <c r="AV119" s="1201" t="s">
        <v>575</v>
      </c>
      <c r="AW119" s="1201"/>
      <c r="AX119" s="1201"/>
      <c r="AY119" s="1208">
        <v>9.23</v>
      </c>
      <c r="AZ119" s="1205" t="s">
        <v>564</v>
      </c>
      <c r="BA119" s="1201"/>
      <c r="BB119" s="1203"/>
      <c r="BC119" s="1144"/>
      <c r="BD119" s="1144"/>
      <c r="BE119" s="1144"/>
      <c r="BF119" s="1144"/>
      <c r="BG119" s="1144"/>
      <c r="BH119" s="1144"/>
      <c r="BI119" s="1144"/>
      <c r="BJ119" s="1144"/>
      <c r="BK119" s="1144"/>
      <c r="BL119" s="1144"/>
      <c r="BM119" s="1148"/>
      <c r="BN119" s="1148"/>
      <c r="BO119" s="1148"/>
      <c r="BP119" s="1148"/>
      <c r="BQ119" s="1148"/>
      <c r="BR119" s="1148"/>
      <c r="BS119" s="1148"/>
      <c r="BT119" s="1148"/>
      <c r="BU119" s="1139"/>
    </row>
    <row r="120" spans="1:73" ht="17.45" customHeight="1">
      <c r="A120" s="916"/>
      <c r="B120" s="916"/>
      <c r="C120" s="916"/>
      <c r="D120" s="916"/>
      <c r="E120" s="916"/>
      <c r="F120" s="916"/>
      <c r="G120" s="916"/>
      <c r="H120" s="916"/>
      <c r="I120" s="916"/>
      <c r="J120" s="916"/>
      <c r="K120" s="916"/>
      <c r="L120" s="916"/>
      <c r="M120" s="916"/>
      <c r="N120" s="916"/>
      <c r="O120" s="916"/>
      <c r="P120" s="916"/>
      <c r="Q120" s="916"/>
      <c r="R120" s="916"/>
      <c r="S120" s="916"/>
      <c r="T120" s="916"/>
      <c r="U120" s="916"/>
      <c r="V120" s="916"/>
      <c r="W120" s="1150"/>
      <c r="X120" s="1150"/>
      <c r="Y120" s="1150"/>
      <c r="Z120" s="1150"/>
      <c r="AA120" s="1150"/>
      <c r="AB120" s="1150"/>
      <c r="AC120" s="1150"/>
      <c r="AD120" s="1150"/>
      <c r="AE120" s="1150"/>
      <c r="AF120" s="1150"/>
      <c r="AG120" s="1150"/>
      <c r="AH120" s="1150"/>
      <c r="AI120" s="1150"/>
      <c r="AJ120" s="1201"/>
      <c r="AK120" s="1201"/>
      <c r="AL120" s="1201"/>
      <c r="AM120" s="1201"/>
      <c r="AN120" s="1201"/>
      <c r="AO120" s="1201"/>
      <c r="AP120" s="1201"/>
      <c r="AQ120" s="1201"/>
      <c r="AR120" s="1201"/>
      <c r="AS120" s="916"/>
      <c r="AT120" s="1144"/>
      <c r="AU120" s="1204" t="s">
        <v>573</v>
      </c>
      <c r="AV120" s="1201" t="s">
        <v>572</v>
      </c>
      <c r="AW120" s="1201"/>
      <c r="AX120" s="1201"/>
      <c r="AY120" s="1208"/>
      <c r="AZ120" s="1205"/>
      <c r="BA120" s="1201"/>
      <c r="BB120" s="1203"/>
      <c r="BC120" s="1144"/>
      <c r="BD120" s="1144"/>
      <c r="BE120" s="1144"/>
      <c r="BF120" s="1144"/>
      <c r="BG120" s="1144"/>
      <c r="BH120" s="1144"/>
      <c r="BI120" s="1144"/>
      <c r="BJ120" s="1144"/>
      <c r="BK120" s="1144"/>
      <c r="BL120" s="1144"/>
      <c r="BM120" s="1148"/>
      <c r="BN120" s="1148"/>
      <c r="BO120" s="1148"/>
      <c r="BP120" s="1148"/>
      <c r="BQ120" s="1148"/>
      <c r="BR120" s="1148"/>
      <c r="BS120" s="1148"/>
      <c r="BT120" s="1148"/>
      <c r="BU120" s="1139"/>
    </row>
    <row r="121" spans="1:73" ht="17.45" customHeight="1">
      <c r="A121" s="916"/>
      <c r="B121" s="916"/>
      <c r="C121" s="916"/>
      <c r="D121" s="916"/>
      <c r="E121" s="916"/>
      <c r="F121" s="916"/>
      <c r="G121" s="916"/>
      <c r="H121" s="916"/>
      <c r="I121" s="916"/>
      <c r="J121" s="916"/>
      <c r="K121" s="916"/>
      <c r="L121" s="916"/>
      <c r="M121" s="916"/>
      <c r="N121" s="916"/>
      <c r="O121" s="916"/>
      <c r="P121" s="916"/>
      <c r="Q121" s="916"/>
      <c r="R121" s="916"/>
      <c r="S121" s="916"/>
      <c r="T121" s="916"/>
      <c r="U121" s="916"/>
      <c r="V121" s="916"/>
      <c r="W121" s="1150"/>
      <c r="X121" s="1150"/>
      <c r="Y121" s="1150"/>
      <c r="Z121" s="1150"/>
      <c r="AA121" s="1150"/>
      <c r="AB121" s="1150"/>
      <c r="AC121" s="1150"/>
      <c r="AD121" s="1150"/>
      <c r="AE121" s="1150"/>
      <c r="AF121" s="1150"/>
      <c r="AG121" s="1150"/>
      <c r="AH121" s="1150"/>
      <c r="AI121" s="1150"/>
      <c r="AJ121" s="1201"/>
      <c r="AK121" s="1201"/>
      <c r="AL121" s="1201"/>
      <c r="AM121" s="1201"/>
      <c r="AN121" s="1201"/>
      <c r="AO121" s="1201"/>
      <c r="AP121" s="1201"/>
      <c r="AQ121" s="1201"/>
      <c r="AR121" s="1201"/>
      <c r="AS121" s="916"/>
      <c r="AT121" s="1144"/>
      <c r="AU121" s="1204"/>
      <c r="AV121" s="1201"/>
      <c r="AW121" s="1201" t="s">
        <v>571</v>
      </c>
      <c r="AX121" s="1201"/>
      <c r="AY121" s="1208">
        <v>13.15</v>
      </c>
      <c r="AZ121" s="1205" t="s">
        <v>564</v>
      </c>
      <c r="BA121" s="1201"/>
      <c r="BB121" s="1203"/>
      <c r="BC121" s="1144"/>
      <c r="BD121" s="1144"/>
      <c r="BE121" s="1144"/>
      <c r="BF121" s="1144"/>
      <c r="BG121" s="1144"/>
      <c r="BH121" s="1144"/>
      <c r="BI121" s="1144"/>
      <c r="BJ121" s="1144"/>
      <c r="BK121" s="1144"/>
      <c r="BL121" s="1144"/>
      <c r="BM121" s="1148"/>
      <c r="BN121" s="1148"/>
      <c r="BO121" s="1148"/>
      <c r="BP121" s="1148"/>
      <c r="BQ121" s="1148"/>
      <c r="BR121" s="1148"/>
      <c r="BS121" s="1148"/>
      <c r="BT121" s="1148"/>
      <c r="BU121" s="1139"/>
    </row>
    <row r="122" spans="1:73" ht="17.45" customHeight="1">
      <c r="A122" s="916"/>
      <c r="B122" s="916"/>
      <c r="C122" s="916"/>
      <c r="D122" s="916"/>
      <c r="E122" s="916"/>
      <c r="F122" s="916"/>
      <c r="G122" s="916"/>
      <c r="H122" s="916"/>
      <c r="I122" s="916"/>
      <c r="J122" s="916"/>
      <c r="K122" s="916"/>
      <c r="L122" s="916"/>
      <c r="M122" s="916"/>
      <c r="N122" s="916"/>
      <c r="O122" s="916"/>
      <c r="P122" s="916"/>
      <c r="Q122" s="916"/>
      <c r="R122" s="916"/>
      <c r="S122" s="916"/>
      <c r="T122" s="916"/>
      <c r="U122" s="916"/>
      <c r="V122" s="916"/>
      <c r="W122" s="1150"/>
      <c r="X122" s="1150"/>
      <c r="Y122" s="1150"/>
      <c r="Z122" s="1150"/>
      <c r="AA122" s="1150"/>
      <c r="AB122" s="1150"/>
      <c r="AC122" s="1150"/>
      <c r="AD122" s="1150"/>
      <c r="AE122" s="1150"/>
      <c r="AF122" s="1150"/>
      <c r="AG122" s="1150"/>
      <c r="AH122" s="1150"/>
      <c r="AI122" s="1150"/>
      <c r="AJ122" s="1201"/>
      <c r="AK122" s="1201"/>
      <c r="AL122" s="1201"/>
      <c r="AM122" s="1201"/>
      <c r="AN122" s="1201"/>
      <c r="AO122" s="1201"/>
      <c r="AP122" s="1201"/>
      <c r="AQ122" s="1201"/>
      <c r="AR122" s="1201"/>
      <c r="AS122" s="916"/>
      <c r="AT122" s="1144"/>
      <c r="AU122" s="1204"/>
      <c r="AV122" s="1201"/>
      <c r="AW122" s="1201" t="s">
        <v>569</v>
      </c>
      <c r="AX122" s="1201"/>
      <c r="AY122" s="1208">
        <v>12.8</v>
      </c>
      <c r="AZ122" s="1205" t="s">
        <v>564</v>
      </c>
      <c r="BA122" s="1201"/>
      <c r="BB122" s="1203"/>
      <c r="BC122" s="1144"/>
      <c r="BD122" s="1144"/>
      <c r="BE122" s="1144"/>
      <c r="BF122" s="1144"/>
      <c r="BG122" s="1144"/>
      <c r="BH122" s="1144"/>
      <c r="BI122" s="1144"/>
      <c r="BJ122" s="1144"/>
      <c r="BK122" s="1144"/>
      <c r="BL122" s="1144"/>
      <c r="BM122" s="1148"/>
      <c r="BN122" s="1148"/>
      <c r="BO122" s="1148"/>
      <c r="BP122" s="1148"/>
      <c r="BQ122" s="1148"/>
      <c r="BR122" s="1148"/>
      <c r="BS122" s="1148"/>
      <c r="BT122" s="1148"/>
      <c r="BU122" s="1139"/>
    </row>
    <row r="123" spans="1:73" ht="17.45" customHeight="1">
      <c r="A123" s="916"/>
      <c r="B123" s="916"/>
      <c r="C123" s="916"/>
      <c r="D123" s="916"/>
      <c r="E123" s="916"/>
      <c r="F123" s="916"/>
      <c r="G123" s="916"/>
      <c r="H123" s="916"/>
      <c r="I123" s="916"/>
      <c r="J123" s="916"/>
      <c r="K123" s="916"/>
      <c r="L123" s="916"/>
      <c r="M123" s="916"/>
      <c r="N123" s="916"/>
      <c r="O123" s="916"/>
      <c r="P123" s="916"/>
      <c r="Q123" s="916"/>
      <c r="R123" s="916"/>
      <c r="S123" s="916"/>
      <c r="T123" s="916"/>
      <c r="U123" s="916"/>
      <c r="V123" s="916"/>
      <c r="W123" s="1150"/>
      <c r="X123" s="1150"/>
      <c r="Y123" s="1150"/>
      <c r="Z123" s="1150"/>
      <c r="AA123" s="1150"/>
      <c r="AB123" s="1150"/>
      <c r="AC123" s="1150"/>
      <c r="AD123" s="1150"/>
      <c r="AE123" s="1150"/>
      <c r="AF123" s="1150"/>
      <c r="AG123" s="1150"/>
      <c r="AH123" s="1150"/>
      <c r="AI123" s="1150"/>
      <c r="AJ123" s="1201"/>
      <c r="AK123" s="1201"/>
      <c r="AL123" s="1201"/>
      <c r="AM123" s="1201"/>
      <c r="AN123" s="1201"/>
      <c r="AO123" s="1201"/>
      <c r="AP123" s="1201"/>
      <c r="AQ123" s="1201"/>
      <c r="AR123" s="1201"/>
      <c r="AS123" s="916"/>
      <c r="AT123" s="1144"/>
      <c r="AU123" s="1204"/>
      <c r="AV123" s="1201"/>
      <c r="AW123" s="1201" t="s">
        <v>567</v>
      </c>
      <c r="AX123" s="1201"/>
      <c r="AY123" s="1208">
        <v>11.49</v>
      </c>
      <c r="AZ123" s="1205" t="s">
        <v>564</v>
      </c>
      <c r="BA123" s="1201"/>
      <c r="BB123" s="1203"/>
      <c r="BC123" s="1144"/>
      <c r="BD123" s="1144"/>
      <c r="BE123" s="1144"/>
      <c r="BF123" s="1144"/>
      <c r="BG123" s="1144"/>
      <c r="BH123" s="1144"/>
      <c r="BI123" s="1144"/>
      <c r="BJ123" s="1144"/>
      <c r="BK123" s="1144"/>
      <c r="BL123" s="1144"/>
      <c r="BM123" s="1148"/>
      <c r="BN123" s="1148"/>
      <c r="BO123" s="1148"/>
      <c r="BP123" s="1148"/>
      <c r="BQ123" s="1148"/>
      <c r="BR123" s="1148"/>
      <c r="BS123" s="1148"/>
      <c r="BT123" s="1148"/>
      <c r="BU123" s="1139"/>
    </row>
    <row r="124" spans="1:73" ht="17.45" customHeight="1">
      <c r="A124" s="916"/>
      <c r="B124" s="916"/>
      <c r="C124" s="916"/>
      <c r="D124" s="916"/>
      <c r="E124" s="916"/>
      <c r="F124" s="916"/>
      <c r="G124" s="916"/>
      <c r="H124" s="916"/>
      <c r="I124" s="916"/>
      <c r="J124" s="916"/>
      <c r="K124" s="916"/>
      <c r="L124" s="916"/>
      <c r="M124" s="916"/>
      <c r="N124" s="916"/>
      <c r="O124" s="916"/>
      <c r="P124" s="916"/>
      <c r="Q124" s="916"/>
      <c r="R124" s="916"/>
      <c r="S124" s="916"/>
      <c r="T124" s="916"/>
      <c r="U124" s="916"/>
      <c r="V124" s="916"/>
      <c r="W124" s="1150"/>
      <c r="X124" s="1150"/>
      <c r="Y124" s="1150"/>
      <c r="Z124" s="1150"/>
      <c r="AA124" s="1150"/>
      <c r="AB124" s="1150"/>
      <c r="AC124" s="1150"/>
      <c r="AD124" s="1150"/>
      <c r="AE124" s="1150"/>
      <c r="AF124" s="1150"/>
      <c r="AG124" s="1150"/>
      <c r="AH124" s="1150"/>
      <c r="AI124" s="1150"/>
      <c r="AJ124" s="1201"/>
      <c r="AK124" s="1201"/>
      <c r="AL124" s="1201"/>
      <c r="AM124" s="1201"/>
      <c r="AN124" s="1201"/>
      <c r="AO124" s="1201"/>
      <c r="AP124" s="1201"/>
      <c r="AQ124" s="1201"/>
      <c r="AR124" s="1201"/>
      <c r="AS124" s="916"/>
      <c r="AT124" s="1144"/>
      <c r="AU124" s="1204"/>
      <c r="AV124" s="1201"/>
      <c r="AW124" s="1201" t="s">
        <v>565</v>
      </c>
      <c r="AX124" s="1201"/>
      <c r="AY124" s="1208">
        <v>9.23</v>
      </c>
      <c r="AZ124" s="1205" t="s">
        <v>564</v>
      </c>
      <c r="BA124" s="1201"/>
      <c r="BB124" s="1203"/>
      <c r="BC124" s="1144"/>
      <c r="BD124" s="1144"/>
      <c r="BE124" s="1144"/>
      <c r="BF124" s="1144"/>
      <c r="BG124" s="1144"/>
      <c r="BH124" s="1144"/>
      <c r="BI124" s="1144"/>
      <c r="BJ124" s="1144"/>
      <c r="BK124" s="1144"/>
      <c r="BL124" s="1144"/>
      <c r="BM124" s="1148"/>
      <c r="BN124" s="1148"/>
      <c r="BO124" s="1148"/>
      <c r="BP124" s="1148"/>
      <c r="BQ124" s="1148"/>
      <c r="BR124" s="1148"/>
      <c r="BS124" s="1148"/>
      <c r="BT124" s="1148"/>
      <c r="BU124" s="1139"/>
    </row>
    <row r="125" spans="1:73" ht="17.45" customHeight="1">
      <c r="A125" s="916"/>
      <c r="B125" s="916"/>
      <c r="C125" s="916"/>
      <c r="D125" s="916"/>
      <c r="E125" s="916"/>
      <c r="F125" s="916"/>
      <c r="G125" s="916"/>
      <c r="H125" s="916"/>
      <c r="I125" s="916"/>
      <c r="J125" s="916"/>
      <c r="K125" s="916"/>
      <c r="L125" s="916"/>
      <c r="M125" s="916"/>
      <c r="N125" s="916"/>
      <c r="O125" s="916"/>
      <c r="P125" s="916"/>
      <c r="Q125" s="916"/>
      <c r="R125" s="916"/>
      <c r="S125" s="916"/>
      <c r="T125" s="916"/>
      <c r="U125" s="916"/>
      <c r="V125" s="916"/>
      <c r="W125" s="1150"/>
      <c r="X125" s="1150"/>
      <c r="Y125" s="1150"/>
      <c r="Z125" s="1150"/>
      <c r="AA125" s="1150"/>
      <c r="AB125" s="1150"/>
      <c r="AC125" s="1150"/>
      <c r="AD125" s="1150"/>
      <c r="AE125" s="1150"/>
      <c r="AF125" s="1150"/>
      <c r="AG125" s="1150"/>
      <c r="AH125" s="1150"/>
      <c r="AI125" s="1150"/>
      <c r="AJ125" s="1201"/>
      <c r="AK125" s="1201"/>
      <c r="AL125" s="1201"/>
      <c r="AM125" s="1201"/>
      <c r="AN125" s="1201"/>
      <c r="AO125" s="1201"/>
      <c r="AP125" s="1201"/>
      <c r="AQ125" s="1201"/>
      <c r="AR125" s="1201"/>
      <c r="AS125" s="916"/>
      <c r="AT125" s="1144"/>
      <c r="AU125" s="1204" t="s">
        <v>563</v>
      </c>
      <c r="AV125" s="1201" t="s">
        <v>562</v>
      </c>
      <c r="AW125" s="1201"/>
      <c r="AX125" s="1201"/>
      <c r="AY125" s="1209"/>
      <c r="AZ125" s="1201"/>
      <c r="BA125" s="1201"/>
      <c r="BB125" s="1203"/>
      <c r="BC125" s="1160"/>
      <c r="BD125" s="1160"/>
      <c r="BE125" s="1160"/>
      <c r="BF125" s="1160"/>
      <c r="BG125" s="1160"/>
      <c r="BH125" s="1160"/>
      <c r="BI125" s="1160"/>
      <c r="BJ125" s="1160"/>
      <c r="BK125" s="1160"/>
      <c r="BL125" s="1160"/>
      <c r="BM125" s="1148"/>
      <c r="BN125" s="1148"/>
      <c r="BO125" s="1148"/>
      <c r="BP125" s="1148"/>
      <c r="BQ125" s="1148"/>
      <c r="BR125" s="1148"/>
      <c r="BS125" s="1148"/>
      <c r="BT125" s="1148"/>
      <c r="BU125" s="1139"/>
    </row>
    <row r="126" spans="1:73" ht="17.45" customHeight="1">
      <c r="A126" s="916"/>
      <c r="B126" s="916"/>
      <c r="C126" s="916"/>
      <c r="D126" s="916"/>
      <c r="E126" s="916"/>
      <c r="F126" s="916"/>
      <c r="G126" s="916"/>
      <c r="H126" s="916"/>
      <c r="I126" s="916"/>
      <c r="J126" s="916"/>
      <c r="K126" s="916"/>
      <c r="L126" s="916"/>
      <c r="M126" s="916"/>
      <c r="N126" s="916"/>
      <c r="O126" s="916"/>
      <c r="P126" s="916"/>
      <c r="Q126" s="916"/>
      <c r="R126" s="916"/>
      <c r="S126" s="916"/>
      <c r="T126" s="916"/>
      <c r="U126" s="916"/>
      <c r="V126" s="916"/>
      <c r="W126" s="1150"/>
      <c r="X126" s="1150"/>
      <c r="Y126" s="1150"/>
      <c r="Z126" s="1150"/>
      <c r="AA126" s="1150"/>
      <c r="AB126" s="1150"/>
      <c r="AC126" s="1150"/>
      <c r="AD126" s="1150"/>
      <c r="AE126" s="1150"/>
      <c r="AF126" s="1150"/>
      <c r="AG126" s="1150"/>
      <c r="AH126" s="1150"/>
      <c r="AI126" s="1150"/>
      <c r="AJ126" s="1205"/>
      <c r="AK126" s="1205"/>
      <c r="AL126" s="1205"/>
      <c r="AM126" s="1205"/>
      <c r="AN126" s="1205"/>
      <c r="AO126" s="1205"/>
      <c r="AP126" s="1205"/>
      <c r="AQ126" s="1205"/>
      <c r="AR126" s="1205"/>
      <c r="AS126" s="916"/>
      <c r="AT126" s="1144"/>
      <c r="AU126" s="1204"/>
      <c r="AV126" s="1205"/>
      <c r="AW126" s="1201"/>
      <c r="AX126" s="1201"/>
      <c r="AY126" s="1201"/>
      <c r="AZ126" s="1201"/>
      <c r="BA126" s="1201"/>
      <c r="BB126" s="1203"/>
      <c r="BC126" s="1144"/>
      <c r="BD126" s="1144"/>
      <c r="BE126" s="1144"/>
      <c r="BF126" s="1144"/>
      <c r="BG126" s="1144"/>
      <c r="BH126" s="1144"/>
      <c r="BI126" s="1144"/>
      <c r="BJ126" s="1144"/>
      <c r="BK126" s="1144"/>
      <c r="BL126" s="1144"/>
      <c r="BM126" s="1148"/>
      <c r="BN126" s="1148"/>
      <c r="BO126" s="1148"/>
      <c r="BP126" s="1148"/>
      <c r="BQ126" s="1148"/>
      <c r="BR126" s="1148"/>
      <c r="BS126" s="1148"/>
      <c r="BT126" s="1148"/>
    </row>
    <row r="127" spans="1:73" ht="17.45" customHeight="1">
      <c r="A127" s="916"/>
      <c r="B127" s="916"/>
      <c r="C127" s="916"/>
      <c r="D127" s="916"/>
      <c r="E127" s="916"/>
      <c r="F127" s="916"/>
      <c r="G127" s="916"/>
      <c r="H127" s="916"/>
      <c r="I127" s="916"/>
      <c r="J127" s="916"/>
      <c r="K127" s="916"/>
      <c r="L127" s="916"/>
      <c r="M127" s="916"/>
      <c r="N127" s="916"/>
      <c r="O127" s="916"/>
      <c r="P127" s="916"/>
      <c r="Q127" s="916"/>
      <c r="R127" s="916"/>
      <c r="S127" s="916"/>
      <c r="T127" s="916"/>
      <c r="U127" s="916"/>
      <c r="V127" s="916"/>
      <c r="W127" s="1150"/>
      <c r="X127" s="1150"/>
      <c r="Y127" s="1150"/>
      <c r="Z127" s="1150"/>
      <c r="AA127" s="1150"/>
      <c r="AB127" s="1150"/>
      <c r="AC127" s="1150"/>
      <c r="AD127" s="1150"/>
      <c r="AE127" s="1150"/>
      <c r="AF127" s="1150"/>
      <c r="AG127" s="1150"/>
      <c r="AH127" s="1150"/>
      <c r="AI127" s="1150"/>
      <c r="AJ127" s="1210"/>
      <c r="AK127" s="1210"/>
      <c r="AL127" s="1210"/>
      <c r="AM127" s="1210"/>
      <c r="AN127" s="1210"/>
      <c r="AO127" s="1210"/>
      <c r="AP127" s="1210"/>
      <c r="AQ127" s="1210"/>
      <c r="AR127" s="1210"/>
      <c r="AS127" s="916"/>
      <c r="AT127" s="1144"/>
      <c r="AU127" s="1204" t="s">
        <v>561</v>
      </c>
      <c r="AV127" s="1210" t="s">
        <v>560</v>
      </c>
      <c r="AW127" s="1201"/>
      <c r="AX127" s="1201"/>
      <c r="AY127" s="1201"/>
      <c r="AZ127" s="1201"/>
      <c r="BA127" s="1201"/>
      <c r="BB127" s="1203"/>
      <c r="BC127" s="1144"/>
      <c r="BD127" s="1144"/>
      <c r="BE127" s="1144"/>
      <c r="BF127" s="1144"/>
      <c r="BG127" s="1144"/>
      <c r="BH127" s="1144"/>
      <c r="BI127" s="1144"/>
      <c r="BJ127" s="1144"/>
      <c r="BK127" s="1144"/>
      <c r="BL127" s="1144"/>
      <c r="BM127" s="1148"/>
      <c r="BN127" s="1148"/>
      <c r="BO127" s="1148"/>
      <c r="BP127" s="1148"/>
      <c r="BQ127" s="1148"/>
      <c r="BR127" s="1148"/>
      <c r="BS127" s="1148"/>
      <c r="BT127" s="1148"/>
    </row>
    <row r="128" spans="1:73" ht="17.45" customHeight="1">
      <c r="A128" s="916"/>
      <c r="B128" s="916"/>
      <c r="C128" s="916"/>
      <c r="D128" s="916"/>
      <c r="E128" s="916"/>
      <c r="F128" s="916"/>
      <c r="G128" s="916"/>
      <c r="H128" s="916"/>
      <c r="I128" s="916"/>
      <c r="J128" s="916"/>
      <c r="K128" s="916"/>
      <c r="L128" s="916"/>
      <c r="M128" s="916"/>
      <c r="N128" s="916"/>
      <c r="O128" s="916"/>
      <c r="P128" s="916"/>
      <c r="Q128" s="916"/>
      <c r="R128" s="916"/>
      <c r="S128" s="916"/>
      <c r="T128" s="916"/>
      <c r="U128" s="916"/>
      <c r="V128" s="916"/>
      <c r="W128" s="1150"/>
      <c r="X128" s="1150"/>
      <c r="Y128" s="1150"/>
      <c r="Z128" s="1150"/>
      <c r="AA128" s="1150"/>
      <c r="AB128" s="1150"/>
      <c r="AC128" s="1150"/>
      <c r="AD128" s="1150"/>
      <c r="AE128" s="1150"/>
      <c r="AF128" s="1150"/>
      <c r="AG128" s="1150"/>
      <c r="AH128" s="1150"/>
      <c r="AI128" s="1150"/>
      <c r="AJ128" s="1201"/>
      <c r="AK128" s="1201"/>
      <c r="AL128" s="1201"/>
      <c r="AM128" s="1201"/>
      <c r="AN128" s="1201"/>
      <c r="AO128" s="1201"/>
      <c r="AP128" s="1201"/>
      <c r="AQ128" s="1201"/>
      <c r="AR128" s="1201"/>
      <c r="AS128" s="916"/>
      <c r="AT128" s="1144"/>
      <c r="AU128" s="1204" t="s">
        <v>559</v>
      </c>
      <c r="AV128" s="1201"/>
      <c r="AW128" s="1201" t="s">
        <v>558</v>
      </c>
      <c r="AX128" s="1201"/>
      <c r="AY128" s="1201"/>
      <c r="AZ128" s="1201"/>
      <c r="BA128" s="1201"/>
      <c r="BB128" s="1203"/>
      <c r="BC128" s="1144"/>
      <c r="BD128" s="1144"/>
      <c r="BE128" s="1144"/>
      <c r="BF128" s="1144"/>
      <c r="BG128" s="1144"/>
      <c r="BH128" s="1144"/>
      <c r="BI128" s="1144"/>
      <c r="BJ128" s="1144"/>
      <c r="BK128" s="1144"/>
      <c r="BL128" s="1144"/>
      <c r="BM128" s="1148"/>
      <c r="BN128" s="1148"/>
      <c r="BO128" s="1148"/>
      <c r="BP128" s="1148"/>
      <c r="BQ128" s="1148"/>
      <c r="BR128" s="1148"/>
      <c r="BS128" s="1148"/>
      <c r="BT128" s="1148"/>
    </row>
    <row r="129" spans="1:72" ht="17.45" customHeight="1">
      <c r="A129" s="916"/>
      <c r="B129" s="916"/>
      <c r="C129" s="916"/>
      <c r="D129" s="916"/>
      <c r="E129" s="916"/>
      <c r="F129" s="916"/>
      <c r="G129" s="916"/>
      <c r="H129" s="916"/>
      <c r="I129" s="916"/>
      <c r="J129" s="916"/>
      <c r="K129" s="916"/>
      <c r="L129" s="916"/>
      <c r="M129" s="916"/>
      <c r="N129" s="916"/>
      <c r="O129" s="916"/>
      <c r="P129" s="916"/>
      <c r="Q129" s="916"/>
      <c r="R129" s="916"/>
      <c r="S129" s="916"/>
      <c r="T129" s="916"/>
      <c r="U129" s="916"/>
      <c r="V129" s="916"/>
      <c r="W129" s="1150"/>
      <c r="X129" s="1150"/>
      <c r="Y129" s="1150"/>
      <c r="Z129" s="1150"/>
      <c r="AA129" s="1150"/>
      <c r="AB129" s="1150"/>
      <c r="AC129" s="1150"/>
      <c r="AD129" s="1150"/>
      <c r="AE129" s="1150"/>
      <c r="AF129" s="1150"/>
      <c r="AG129" s="1150"/>
      <c r="AH129" s="1150"/>
      <c r="AI129" s="1150"/>
      <c r="AJ129" s="1201"/>
      <c r="AK129" s="1201"/>
      <c r="AL129" s="1201"/>
      <c r="AM129" s="1201"/>
      <c r="AN129" s="1201"/>
      <c r="AO129" s="1201"/>
      <c r="AP129" s="1201"/>
      <c r="AQ129" s="1201"/>
      <c r="AR129" s="1201"/>
      <c r="AS129" s="916"/>
      <c r="AT129" s="1144"/>
      <c r="AU129" s="1204" t="s">
        <v>557</v>
      </c>
      <c r="AV129" s="1201"/>
      <c r="AW129" s="1201" t="s">
        <v>556</v>
      </c>
      <c r="AX129" s="1201"/>
      <c r="AY129" s="1201"/>
      <c r="AZ129" s="1201"/>
      <c r="BA129" s="1201"/>
      <c r="BB129" s="1203"/>
      <c r="BC129" s="1144"/>
      <c r="BD129" s="1144"/>
      <c r="BE129" s="1144"/>
      <c r="BF129" s="1144"/>
      <c r="BG129" s="1144"/>
      <c r="BH129" s="1144"/>
      <c r="BI129" s="1144"/>
      <c r="BJ129" s="1144"/>
      <c r="BK129" s="1144"/>
      <c r="BL129" s="1144"/>
      <c r="BM129" s="1148"/>
      <c r="BN129" s="1148"/>
      <c r="BO129" s="1148"/>
      <c r="BP129" s="1148"/>
      <c r="BQ129" s="1148"/>
      <c r="BR129" s="1148"/>
      <c r="BS129" s="1148"/>
      <c r="BT129" s="1148"/>
    </row>
    <row r="130" spans="1:72" ht="17.45" customHeight="1">
      <c r="A130" s="916"/>
      <c r="B130" s="916"/>
      <c r="C130" s="916"/>
      <c r="D130" s="916"/>
      <c r="E130" s="916"/>
      <c r="F130" s="916"/>
      <c r="G130" s="916"/>
      <c r="H130" s="916"/>
      <c r="I130" s="916"/>
      <c r="J130" s="916"/>
      <c r="K130" s="916"/>
      <c r="L130" s="916"/>
      <c r="M130" s="916"/>
      <c r="N130" s="916"/>
      <c r="O130" s="916"/>
      <c r="P130" s="916"/>
      <c r="Q130" s="916"/>
      <c r="R130" s="916"/>
      <c r="S130" s="916"/>
      <c r="T130" s="916"/>
      <c r="U130" s="916"/>
      <c r="V130" s="916"/>
      <c r="W130" s="1150"/>
      <c r="X130" s="1150"/>
      <c r="Y130" s="1150"/>
      <c r="Z130" s="1150"/>
      <c r="AA130" s="1150"/>
      <c r="AB130" s="1150"/>
      <c r="AC130" s="1150"/>
      <c r="AD130" s="1150"/>
      <c r="AE130" s="1150"/>
      <c r="AF130" s="1150"/>
      <c r="AG130" s="1150"/>
      <c r="AH130" s="1150"/>
      <c r="AI130" s="1150"/>
      <c r="AJ130" s="1201"/>
      <c r="AK130" s="1201"/>
      <c r="AL130" s="1201"/>
      <c r="AM130" s="1201"/>
      <c r="AN130" s="1201"/>
      <c r="AO130" s="1201"/>
      <c r="AP130" s="1201"/>
      <c r="AQ130" s="1201"/>
      <c r="AR130" s="1201"/>
      <c r="AS130" s="916"/>
      <c r="AT130" s="1144"/>
      <c r="AU130" s="1204" t="s">
        <v>555</v>
      </c>
      <c r="AV130" s="1201"/>
      <c r="AW130" s="1201" t="s">
        <v>554</v>
      </c>
      <c r="AX130" s="1201"/>
      <c r="AY130" s="1201"/>
      <c r="AZ130" s="1201"/>
      <c r="BA130" s="1201"/>
      <c r="BB130" s="1203"/>
      <c r="BC130" s="1144"/>
      <c r="BD130" s="1144"/>
      <c r="BE130" s="1144"/>
      <c r="BF130" s="1144"/>
      <c r="BG130" s="1144"/>
      <c r="BH130" s="1144"/>
      <c r="BI130" s="1144"/>
      <c r="BJ130" s="1144"/>
      <c r="BK130" s="1144"/>
      <c r="BL130" s="1144"/>
      <c r="BM130" s="1148"/>
      <c r="BN130" s="1148"/>
      <c r="BO130" s="1148"/>
      <c r="BP130" s="1148"/>
      <c r="BQ130" s="1148"/>
      <c r="BR130" s="1148"/>
      <c r="BS130" s="1148"/>
      <c r="BT130" s="1148"/>
    </row>
    <row r="131" spans="1:72" ht="17.45" customHeight="1">
      <c r="A131" s="916"/>
      <c r="B131" s="916"/>
      <c r="C131" s="916"/>
      <c r="D131" s="916"/>
      <c r="E131" s="916"/>
      <c r="F131" s="916"/>
      <c r="G131" s="916"/>
      <c r="H131" s="916"/>
      <c r="I131" s="916"/>
      <c r="J131" s="916"/>
      <c r="K131" s="916"/>
      <c r="L131" s="916"/>
      <c r="M131" s="916"/>
      <c r="N131" s="916"/>
      <c r="O131" s="916"/>
      <c r="P131" s="916"/>
      <c r="Q131" s="916"/>
      <c r="R131" s="916"/>
      <c r="S131" s="916"/>
      <c r="T131" s="916"/>
      <c r="U131" s="916"/>
      <c r="V131" s="916"/>
      <c r="W131" s="1150"/>
      <c r="X131" s="1150"/>
      <c r="Y131" s="1150"/>
      <c r="Z131" s="1150"/>
      <c r="AA131" s="1150"/>
      <c r="AB131" s="1150"/>
      <c r="AC131" s="1150"/>
      <c r="AD131" s="1150"/>
      <c r="AE131" s="1150"/>
      <c r="AF131" s="1150"/>
      <c r="AG131" s="1150"/>
      <c r="AH131" s="1150"/>
      <c r="AI131" s="1150"/>
      <c r="AJ131" s="1201"/>
      <c r="AK131" s="1201"/>
      <c r="AL131" s="1201"/>
      <c r="AM131" s="1201"/>
      <c r="AN131" s="1201"/>
      <c r="AO131" s="1201"/>
      <c r="AP131" s="1201"/>
      <c r="AQ131" s="1201"/>
      <c r="AR131" s="1201"/>
      <c r="AS131" s="916"/>
      <c r="AT131" s="1144"/>
      <c r="AU131" s="1204" t="s">
        <v>553</v>
      </c>
      <c r="AV131" s="1201" t="s">
        <v>1196</v>
      </c>
      <c r="AW131" s="1201"/>
      <c r="AX131" s="1201"/>
      <c r="AY131" s="1201"/>
      <c r="AZ131" s="1201"/>
      <c r="BA131" s="1201"/>
      <c r="BB131" s="1203"/>
      <c r="BC131" s="1144"/>
      <c r="BD131" s="1144"/>
      <c r="BE131" s="1144"/>
      <c r="BF131" s="1144"/>
      <c r="BG131" s="1144"/>
      <c r="BH131" s="1144"/>
      <c r="BI131" s="1144"/>
      <c r="BJ131" s="1144"/>
      <c r="BK131" s="1144"/>
      <c r="BL131" s="1144"/>
      <c r="BM131" s="1148"/>
      <c r="BN131" s="1148"/>
      <c r="BO131" s="1148"/>
      <c r="BP131" s="1148"/>
      <c r="BQ131" s="1148"/>
      <c r="BR131" s="1148"/>
      <c r="BS131" s="1148"/>
      <c r="BT131" s="1148"/>
    </row>
    <row r="132" spans="1:72" ht="17.45" customHeight="1" thickBot="1">
      <c r="A132" s="916"/>
      <c r="B132" s="916"/>
      <c r="C132" s="916"/>
      <c r="D132" s="916"/>
      <c r="E132" s="916"/>
      <c r="F132" s="916"/>
      <c r="G132" s="916"/>
      <c r="H132" s="916"/>
      <c r="I132" s="916"/>
      <c r="J132" s="916"/>
      <c r="K132" s="916"/>
      <c r="L132" s="916"/>
      <c r="M132" s="916"/>
      <c r="N132" s="916"/>
      <c r="O132" s="916"/>
      <c r="P132" s="916"/>
      <c r="Q132" s="916"/>
      <c r="R132" s="916"/>
      <c r="S132" s="916"/>
      <c r="T132" s="916"/>
      <c r="U132" s="916"/>
      <c r="V132" s="916"/>
      <c r="W132" s="1150"/>
      <c r="X132" s="1150"/>
      <c r="Y132" s="1150"/>
      <c r="Z132" s="1150"/>
      <c r="AA132" s="1150"/>
      <c r="AB132" s="1150"/>
      <c r="AC132" s="1150"/>
      <c r="AD132" s="1150"/>
      <c r="AE132" s="1150"/>
      <c r="AF132" s="1150"/>
      <c r="AG132" s="1150"/>
      <c r="AH132" s="1150"/>
      <c r="AI132" s="1150"/>
      <c r="AJ132" s="1211"/>
      <c r="AK132" s="1211"/>
      <c r="AL132" s="1211"/>
      <c r="AM132" s="1211"/>
      <c r="AN132" s="1211"/>
      <c r="AO132" s="1211"/>
      <c r="AP132" s="1211"/>
      <c r="AQ132" s="1211"/>
      <c r="AR132" s="1211"/>
      <c r="AS132" s="916"/>
      <c r="AT132" s="1144"/>
      <c r="AU132" s="1212" t="s">
        <v>552</v>
      </c>
      <c r="AV132" s="1211" t="s">
        <v>1197</v>
      </c>
      <c r="AW132" s="1211"/>
      <c r="AX132" s="1211"/>
      <c r="AY132" s="1211"/>
      <c r="AZ132" s="1211"/>
      <c r="BA132" s="1211"/>
      <c r="BB132" s="1213"/>
      <c r="BC132" s="1144"/>
      <c r="BD132" s="1144"/>
      <c r="BE132" s="1144"/>
      <c r="BF132" s="1144"/>
      <c r="BG132" s="1144"/>
      <c r="BH132" s="1144"/>
      <c r="BI132" s="1144"/>
      <c r="BJ132" s="1144"/>
      <c r="BK132" s="1144"/>
      <c r="BL132" s="1144"/>
      <c r="BM132" s="1148"/>
      <c r="BN132" s="1148"/>
      <c r="BO132" s="1148"/>
      <c r="BP132" s="1148"/>
      <c r="BQ132" s="1148"/>
      <c r="BR132" s="1148"/>
      <c r="BS132" s="1148"/>
      <c r="BT132" s="1148"/>
    </row>
    <row r="133" spans="1:72" ht="17.45" customHeight="1" thickTop="1">
      <c r="A133" s="916"/>
      <c r="B133" s="916"/>
      <c r="C133" s="916"/>
      <c r="D133" s="916"/>
      <c r="E133" s="916"/>
      <c r="F133" s="916"/>
      <c r="G133" s="916"/>
      <c r="H133" s="916"/>
      <c r="I133" s="916"/>
      <c r="J133" s="916"/>
      <c r="K133" s="916"/>
      <c r="L133" s="916"/>
      <c r="M133" s="916"/>
      <c r="N133" s="916"/>
      <c r="O133" s="916"/>
      <c r="P133" s="916"/>
      <c r="Q133" s="916"/>
      <c r="R133" s="916"/>
      <c r="S133" s="916"/>
      <c r="T133" s="916"/>
      <c r="U133" s="916"/>
      <c r="V133" s="916"/>
      <c r="W133" s="916"/>
      <c r="X133" s="916"/>
      <c r="Y133" s="916"/>
      <c r="Z133" s="916"/>
      <c r="AA133" s="916"/>
      <c r="AB133" s="916"/>
      <c r="AC133" s="916"/>
      <c r="AD133" s="916"/>
      <c r="AE133" s="916"/>
      <c r="AF133" s="916"/>
      <c r="AG133" s="916"/>
      <c r="AH133" s="916"/>
      <c r="AI133" s="916"/>
      <c r="AJ133" s="1160"/>
      <c r="AK133" s="1160"/>
      <c r="AL133" s="1160"/>
      <c r="AM133" s="1160"/>
      <c r="AN133" s="1160"/>
      <c r="AO133" s="1160"/>
      <c r="AP133" s="1160"/>
      <c r="AQ133" s="1160"/>
      <c r="AR133" s="1160"/>
      <c r="AS133" s="916"/>
      <c r="AT133" s="1160"/>
      <c r="AU133" s="1160"/>
      <c r="AV133" s="1160"/>
      <c r="AW133" s="1160"/>
      <c r="AX133" s="1160"/>
      <c r="AY133" s="1160"/>
      <c r="AZ133" s="1160"/>
      <c r="BA133" s="1160"/>
      <c r="BB133" s="1160"/>
      <c r="BC133" s="1144"/>
      <c r="BD133" s="1144"/>
      <c r="BE133" s="1144"/>
      <c r="BF133" s="1144"/>
      <c r="BG133" s="1144"/>
      <c r="BH133" s="1144"/>
      <c r="BI133" s="1144"/>
      <c r="BJ133" s="1144"/>
      <c r="BK133" s="1144"/>
      <c r="BL133" s="1144"/>
      <c r="BM133" s="1148"/>
      <c r="BN133" s="1148"/>
      <c r="BO133" s="1148"/>
      <c r="BP133" s="1148"/>
      <c r="BQ133" s="1148"/>
      <c r="BR133" s="1148"/>
      <c r="BS133" s="1148"/>
      <c r="BT133" s="1148"/>
    </row>
    <row r="134" spans="1:72" ht="17.45" customHeight="1">
      <c r="A134" s="916"/>
      <c r="B134" s="916"/>
      <c r="C134" s="916"/>
      <c r="D134" s="916"/>
      <c r="E134" s="916"/>
      <c r="F134" s="916"/>
      <c r="G134" s="916"/>
      <c r="H134" s="916"/>
      <c r="I134" s="916"/>
      <c r="J134" s="916"/>
      <c r="K134" s="916"/>
      <c r="L134" s="916"/>
      <c r="M134" s="916"/>
      <c r="N134" s="916"/>
      <c r="O134" s="916"/>
      <c r="P134" s="916"/>
      <c r="Q134" s="916"/>
      <c r="R134" s="916"/>
      <c r="S134" s="916"/>
      <c r="T134" s="916"/>
      <c r="U134" s="916"/>
      <c r="V134" s="916"/>
      <c r="W134" s="916"/>
      <c r="X134" s="916"/>
      <c r="Y134" s="916"/>
      <c r="Z134" s="916"/>
      <c r="AA134" s="916"/>
      <c r="AB134" s="916"/>
      <c r="AC134" s="916"/>
      <c r="AD134" s="916"/>
      <c r="AE134" s="916"/>
      <c r="AF134" s="916"/>
      <c r="AG134" s="916"/>
      <c r="AH134" s="916"/>
      <c r="AI134" s="916"/>
      <c r="AJ134" s="1144"/>
      <c r="AK134" s="1144"/>
      <c r="AL134" s="1144"/>
      <c r="AM134" s="1144"/>
      <c r="AN134" s="1144"/>
      <c r="AO134" s="1144"/>
      <c r="AP134" s="1144"/>
      <c r="AQ134" s="1144"/>
      <c r="AR134" s="1144"/>
      <c r="AS134" s="916"/>
      <c r="AT134" s="1144"/>
      <c r="AU134" s="1144"/>
      <c r="AV134" s="1144"/>
      <c r="AW134" s="1144"/>
      <c r="AX134" s="1144"/>
      <c r="AY134" s="1144"/>
      <c r="AZ134" s="1144"/>
      <c r="BA134" s="1144"/>
      <c r="BB134" s="1144"/>
      <c r="BC134" s="1144"/>
      <c r="BD134" s="1144"/>
      <c r="BE134" s="1144"/>
      <c r="BF134" s="1144"/>
      <c r="BG134" s="1144"/>
      <c r="BH134" s="1144"/>
      <c r="BI134" s="1144"/>
      <c r="BJ134" s="1144"/>
      <c r="BK134" s="1144"/>
      <c r="BL134" s="1144"/>
      <c r="BM134" s="1148"/>
      <c r="BN134" s="1148"/>
      <c r="BO134" s="1148"/>
      <c r="BP134" s="1148"/>
      <c r="BQ134" s="1148"/>
      <c r="BR134" s="1148"/>
      <c r="BS134" s="1148"/>
      <c r="BT134" s="1148"/>
    </row>
    <row r="135" spans="1:72" ht="17.45" customHeight="1">
      <c r="A135" s="916"/>
      <c r="B135" s="916"/>
      <c r="C135" s="916"/>
      <c r="D135" s="916"/>
      <c r="E135" s="916"/>
      <c r="F135" s="916"/>
      <c r="G135" s="916"/>
      <c r="H135" s="916"/>
      <c r="I135" s="916"/>
      <c r="J135" s="916"/>
      <c r="K135" s="916"/>
      <c r="L135" s="916"/>
      <c r="M135" s="916"/>
      <c r="N135" s="916"/>
      <c r="O135" s="916"/>
      <c r="P135" s="916"/>
      <c r="Q135" s="916"/>
      <c r="R135" s="916"/>
      <c r="S135" s="916"/>
      <c r="T135" s="916"/>
      <c r="U135" s="916"/>
      <c r="V135" s="916"/>
      <c r="W135" s="916"/>
      <c r="X135" s="916"/>
      <c r="Y135" s="916"/>
      <c r="Z135" s="916"/>
      <c r="AA135" s="916"/>
      <c r="AB135" s="916"/>
      <c r="AC135" s="916"/>
      <c r="AD135" s="916"/>
      <c r="AE135" s="916"/>
      <c r="AF135" s="916"/>
      <c r="AG135" s="916"/>
      <c r="AH135" s="916"/>
      <c r="AI135" s="916"/>
      <c r="AJ135" s="1144"/>
      <c r="AK135" s="1144"/>
      <c r="AL135" s="1144"/>
      <c r="AM135" s="1144"/>
      <c r="AN135" s="1144"/>
      <c r="AO135" s="1144"/>
      <c r="AP135" s="1144"/>
      <c r="AQ135" s="1144"/>
      <c r="AR135" s="1144"/>
      <c r="AS135" s="916"/>
      <c r="AT135" s="1144"/>
      <c r="AU135" s="1144"/>
      <c r="AV135" s="1144"/>
      <c r="AW135" s="1144"/>
      <c r="AX135" s="1144"/>
      <c r="AY135" s="1144"/>
      <c r="AZ135" s="1144"/>
      <c r="BA135" s="1144"/>
      <c r="BB135" s="1144"/>
      <c r="BC135" s="1144"/>
      <c r="BD135" s="1144"/>
      <c r="BE135" s="1144"/>
      <c r="BF135" s="1144"/>
      <c r="BG135" s="1144"/>
      <c r="BH135" s="1144"/>
      <c r="BI135" s="1144"/>
      <c r="BJ135" s="1144"/>
      <c r="BK135" s="1144"/>
      <c r="BL135" s="1144"/>
      <c r="BM135" s="1148"/>
      <c r="BN135" s="1148"/>
      <c r="BO135" s="1148"/>
      <c r="BP135" s="1148"/>
      <c r="BQ135" s="1148"/>
      <c r="BR135" s="1148"/>
      <c r="BS135" s="1148"/>
      <c r="BT135" s="1148"/>
    </row>
    <row r="136" spans="1:72" ht="17.45" customHeight="1">
      <c r="A136" s="916"/>
      <c r="B136" s="916"/>
      <c r="C136" s="916"/>
      <c r="D136" s="916"/>
      <c r="E136" s="916"/>
      <c r="F136" s="916"/>
      <c r="G136" s="916"/>
      <c r="H136" s="916"/>
      <c r="I136" s="916"/>
      <c r="J136" s="916"/>
      <c r="K136" s="916"/>
      <c r="L136" s="916"/>
      <c r="M136" s="916"/>
      <c r="N136" s="916"/>
      <c r="O136" s="916"/>
      <c r="P136" s="916"/>
      <c r="Q136" s="916"/>
      <c r="R136" s="916"/>
      <c r="S136" s="916"/>
      <c r="T136" s="916"/>
      <c r="U136" s="916"/>
      <c r="V136" s="916"/>
      <c r="W136" s="916"/>
      <c r="X136" s="916"/>
      <c r="Y136" s="916"/>
      <c r="Z136" s="916"/>
      <c r="AA136" s="916"/>
      <c r="AB136" s="916"/>
      <c r="AC136" s="916"/>
      <c r="AD136" s="916"/>
      <c r="AE136" s="916"/>
      <c r="AF136" s="916"/>
      <c r="AG136" s="916"/>
      <c r="AH136" s="916"/>
      <c r="AI136" s="916"/>
      <c r="AJ136" s="1144"/>
      <c r="AK136" s="1144"/>
      <c r="AL136" s="1144"/>
      <c r="AM136" s="1144"/>
      <c r="AN136" s="1144"/>
      <c r="AO136" s="1144"/>
      <c r="AP136" s="1144"/>
      <c r="AQ136" s="1144"/>
      <c r="AR136" s="1144"/>
      <c r="AS136" s="916"/>
      <c r="AT136" s="1144"/>
      <c r="AU136" s="1144"/>
      <c r="AV136" s="1144"/>
      <c r="AW136" s="1144"/>
      <c r="AX136" s="1144"/>
      <c r="AY136" s="1144"/>
      <c r="AZ136" s="1144"/>
      <c r="BA136" s="1144"/>
      <c r="BB136" s="1144"/>
      <c r="BC136" s="1144"/>
      <c r="BD136" s="1144"/>
      <c r="BE136" s="1144"/>
      <c r="BF136" s="1144"/>
      <c r="BG136" s="1144"/>
      <c r="BH136" s="1144"/>
      <c r="BI136" s="1144"/>
      <c r="BJ136" s="1144"/>
      <c r="BK136" s="1144"/>
      <c r="BL136" s="1144"/>
      <c r="BM136" s="1148"/>
      <c r="BN136" s="1148"/>
      <c r="BO136" s="1148"/>
      <c r="BP136" s="1148"/>
      <c r="BQ136" s="1148"/>
      <c r="BR136" s="1148"/>
      <c r="BS136" s="1148"/>
      <c r="BT136" s="1148"/>
    </row>
    <row r="137" spans="1:72" ht="17.45" customHeight="1">
      <c r="A137" s="916"/>
      <c r="B137" s="916"/>
      <c r="C137" s="916"/>
      <c r="D137" s="916"/>
      <c r="E137" s="916"/>
      <c r="F137" s="916"/>
      <c r="G137" s="916"/>
      <c r="H137" s="916"/>
      <c r="I137" s="916"/>
      <c r="J137" s="916"/>
      <c r="K137" s="916"/>
      <c r="L137" s="916"/>
      <c r="M137" s="916"/>
      <c r="N137" s="916"/>
      <c r="O137" s="916"/>
      <c r="P137" s="916"/>
      <c r="Q137" s="916"/>
      <c r="R137" s="916"/>
      <c r="S137" s="916"/>
      <c r="T137" s="916"/>
      <c r="U137" s="916"/>
      <c r="V137" s="916"/>
      <c r="W137" s="916"/>
      <c r="X137" s="916"/>
      <c r="Y137" s="916"/>
      <c r="Z137" s="916"/>
      <c r="AA137" s="916"/>
      <c r="AB137" s="916"/>
      <c r="AC137" s="916"/>
      <c r="AD137" s="916"/>
      <c r="AE137" s="916"/>
      <c r="AF137" s="916"/>
      <c r="AG137" s="916"/>
      <c r="AH137" s="916"/>
      <c r="AI137" s="916"/>
      <c r="AJ137" s="1144"/>
      <c r="AK137" s="1144"/>
      <c r="AL137" s="1144"/>
      <c r="AM137" s="1144"/>
      <c r="AN137" s="1144"/>
      <c r="AO137" s="1144"/>
      <c r="AP137" s="1144"/>
      <c r="AQ137" s="1144"/>
      <c r="AR137" s="1144"/>
      <c r="AS137" s="916"/>
      <c r="AT137" s="1144"/>
      <c r="AU137" s="1144"/>
      <c r="AV137" s="1144"/>
      <c r="AW137" s="1144"/>
      <c r="AX137" s="1144"/>
      <c r="AY137" s="1144"/>
      <c r="AZ137" s="1144"/>
      <c r="BA137" s="1144"/>
      <c r="BB137" s="1144"/>
      <c r="BC137" s="1144"/>
      <c r="BD137" s="1144"/>
      <c r="BE137" s="1144"/>
      <c r="BF137" s="1144"/>
      <c r="BG137" s="1144"/>
      <c r="BH137" s="1144"/>
      <c r="BI137" s="1144"/>
      <c r="BJ137" s="1144"/>
      <c r="BK137" s="1144"/>
      <c r="BL137" s="1144"/>
      <c r="BM137" s="1148"/>
      <c r="BN137" s="1148"/>
      <c r="BO137" s="1148"/>
      <c r="BP137" s="1148"/>
      <c r="BQ137" s="1148"/>
      <c r="BR137" s="1148"/>
      <c r="BS137" s="1148"/>
      <c r="BT137" s="1148"/>
    </row>
    <row r="138" spans="1:72" ht="17.45" customHeight="1">
      <c r="A138" s="916"/>
      <c r="B138" s="916"/>
      <c r="C138" s="916"/>
      <c r="D138" s="916"/>
      <c r="E138" s="916"/>
      <c r="F138" s="916"/>
      <c r="G138" s="916"/>
      <c r="H138" s="916"/>
      <c r="I138" s="916"/>
      <c r="J138" s="916"/>
      <c r="K138" s="916"/>
      <c r="L138" s="916"/>
      <c r="M138" s="916"/>
      <c r="N138" s="916"/>
      <c r="O138" s="916"/>
      <c r="P138" s="916"/>
      <c r="Q138" s="916"/>
      <c r="R138" s="916"/>
      <c r="S138" s="916"/>
      <c r="T138" s="916"/>
      <c r="U138" s="916"/>
      <c r="V138" s="916"/>
      <c r="W138" s="916"/>
      <c r="X138" s="916"/>
      <c r="Y138" s="916"/>
      <c r="Z138" s="916"/>
      <c r="AA138" s="916"/>
      <c r="AB138" s="916"/>
      <c r="AC138" s="916"/>
      <c r="AD138" s="916"/>
      <c r="AE138" s="916"/>
      <c r="AF138" s="916"/>
      <c r="AG138" s="916"/>
      <c r="AH138" s="916"/>
      <c r="AI138" s="916"/>
      <c r="AJ138" s="1144"/>
      <c r="AK138" s="1144"/>
      <c r="AL138" s="1144"/>
      <c r="AM138" s="1144"/>
      <c r="AN138" s="1144"/>
      <c r="AO138" s="1144"/>
      <c r="AP138" s="1144"/>
      <c r="AQ138" s="1144"/>
      <c r="AR138" s="1144"/>
      <c r="AS138" s="916"/>
      <c r="AT138" s="1144"/>
      <c r="AU138" s="1144"/>
      <c r="AV138" s="1144"/>
      <c r="AW138" s="1144"/>
      <c r="AX138" s="1144"/>
      <c r="AY138" s="1144"/>
      <c r="AZ138" s="1144"/>
      <c r="BA138" s="1144"/>
      <c r="BB138" s="1144"/>
      <c r="BC138" s="1144"/>
      <c r="BD138" s="1144"/>
      <c r="BE138" s="1144"/>
      <c r="BF138" s="1144"/>
      <c r="BG138" s="1144"/>
      <c r="BH138" s="1144"/>
      <c r="BI138" s="1144"/>
      <c r="BJ138" s="1144"/>
      <c r="BK138" s="1144"/>
      <c r="BL138" s="1144"/>
      <c r="BM138" s="1148"/>
      <c r="BN138" s="1148"/>
      <c r="BO138" s="1148"/>
      <c r="BP138" s="1148"/>
      <c r="BQ138" s="1148"/>
      <c r="BR138" s="1148"/>
      <c r="BS138" s="1148"/>
      <c r="BT138" s="1148"/>
    </row>
    <row r="139" spans="1:72" ht="17.45" customHeight="1">
      <c r="A139" s="916"/>
      <c r="B139" s="916"/>
      <c r="C139" s="916"/>
      <c r="D139" s="916"/>
      <c r="E139" s="916"/>
      <c r="F139" s="916"/>
      <c r="G139" s="916"/>
      <c r="H139" s="916"/>
      <c r="I139" s="916"/>
      <c r="J139" s="916"/>
      <c r="K139" s="916"/>
      <c r="L139" s="916"/>
      <c r="M139" s="916"/>
      <c r="N139" s="916"/>
      <c r="O139" s="916"/>
      <c r="P139" s="916"/>
      <c r="Q139" s="916"/>
      <c r="R139" s="916"/>
      <c r="S139" s="916"/>
      <c r="T139" s="916"/>
      <c r="U139" s="916"/>
      <c r="V139" s="916"/>
      <c r="W139" s="916"/>
      <c r="X139" s="916"/>
      <c r="Y139" s="916"/>
      <c r="Z139" s="916"/>
      <c r="AA139" s="916"/>
      <c r="AB139" s="916"/>
      <c r="AC139" s="916"/>
      <c r="AD139" s="916"/>
      <c r="AE139" s="916"/>
      <c r="AF139" s="916"/>
      <c r="AG139" s="916"/>
      <c r="AH139" s="916"/>
      <c r="AI139" s="916"/>
      <c r="AJ139" s="1144"/>
      <c r="AK139" s="1144"/>
      <c r="AL139" s="1144"/>
      <c r="AM139" s="1144"/>
      <c r="AN139" s="1144"/>
      <c r="AO139" s="1144"/>
      <c r="AP139" s="1144"/>
      <c r="AQ139" s="1144"/>
      <c r="AR139" s="1144"/>
      <c r="AS139" s="916"/>
      <c r="AT139" s="1144"/>
      <c r="AU139" s="1144"/>
      <c r="AV139" s="1144"/>
      <c r="AW139" s="1144"/>
      <c r="AX139" s="1144"/>
      <c r="AY139" s="1144"/>
      <c r="AZ139" s="1144"/>
      <c r="BA139" s="1144"/>
      <c r="BB139" s="1144"/>
      <c r="BC139" s="1144"/>
      <c r="BD139" s="1144"/>
      <c r="BE139" s="1144"/>
      <c r="BF139" s="1144"/>
      <c r="BG139" s="1144"/>
      <c r="BH139" s="1144"/>
      <c r="BI139" s="1144"/>
      <c r="BJ139" s="1144"/>
      <c r="BK139" s="1144"/>
      <c r="BL139" s="1144"/>
      <c r="BM139" s="1148"/>
      <c r="BN139" s="1148"/>
      <c r="BO139" s="1148"/>
      <c r="BP139" s="1148"/>
      <c r="BQ139" s="1148"/>
      <c r="BR139" s="1148"/>
      <c r="BS139" s="1148"/>
      <c r="BT139" s="1148"/>
    </row>
    <row r="140" spans="1:72" ht="17.45" customHeight="1">
      <c r="A140" s="916"/>
      <c r="B140" s="916"/>
      <c r="C140" s="916"/>
      <c r="D140" s="916"/>
      <c r="E140" s="916"/>
      <c r="F140" s="916"/>
      <c r="G140" s="916"/>
      <c r="H140" s="916"/>
      <c r="I140" s="916"/>
      <c r="J140" s="916"/>
      <c r="K140" s="916"/>
      <c r="L140" s="916"/>
      <c r="M140" s="916"/>
      <c r="N140" s="916"/>
      <c r="O140" s="916"/>
      <c r="P140" s="916"/>
      <c r="Q140" s="916"/>
      <c r="R140" s="916"/>
      <c r="S140" s="916"/>
      <c r="T140" s="916"/>
      <c r="U140" s="916"/>
      <c r="V140" s="916"/>
      <c r="W140" s="916"/>
      <c r="X140" s="916"/>
      <c r="Y140" s="916"/>
      <c r="Z140" s="916"/>
      <c r="AA140" s="916"/>
      <c r="AB140" s="916"/>
      <c r="AC140" s="916"/>
      <c r="AD140" s="916"/>
      <c r="AE140" s="916"/>
      <c r="AF140" s="916"/>
      <c r="AG140" s="916"/>
      <c r="AH140" s="916"/>
      <c r="AI140" s="916"/>
      <c r="AJ140" s="1144"/>
      <c r="AK140" s="1144"/>
      <c r="AL140" s="1144"/>
      <c r="AM140" s="1144"/>
      <c r="AN140" s="1144"/>
      <c r="AO140" s="1144"/>
      <c r="AP140" s="1144"/>
      <c r="AQ140" s="1144"/>
      <c r="AR140" s="1144"/>
      <c r="AS140" s="916"/>
      <c r="AT140" s="1144"/>
      <c r="AU140" s="1144"/>
      <c r="AV140" s="1144"/>
      <c r="AW140" s="1144"/>
      <c r="AX140" s="1144"/>
      <c r="AY140" s="1144"/>
      <c r="AZ140" s="1144"/>
      <c r="BA140" s="1144"/>
      <c r="BB140" s="1144"/>
      <c r="BC140" s="1144"/>
      <c r="BD140" s="1144"/>
      <c r="BE140" s="1144"/>
      <c r="BF140" s="1144"/>
      <c r="BG140" s="1144"/>
      <c r="BH140" s="1144"/>
      <c r="BI140" s="1144"/>
      <c r="BJ140" s="1144"/>
      <c r="BK140" s="1144"/>
      <c r="BL140" s="1144"/>
      <c r="BM140" s="1148"/>
      <c r="BN140" s="1148"/>
      <c r="BO140" s="1148"/>
      <c r="BP140" s="1148"/>
      <c r="BQ140" s="1148"/>
      <c r="BR140" s="1148"/>
      <c r="BS140" s="1148"/>
      <c r="BT140" s="1148"/>
    </row>
    <row r="141" spans="1:72" ht="17.45" customHeight="1">
      <c r="A141" s="916"/>
      <c r="B141" s="916"/>
      <c r="C141" s="916"/>
      <c r="D141" s="916"/>
      <c r="E141" s="916"/>
      <c r="F141" s="916"/>
      <c r="G141" s="916"/>
      <c r="H141" s="916"/>
      <c r="I141" s="916"/>
      <c r="J141" s="916"/>
      <c r="K141" s="916"/>
      <c r="L141" s="916"/>
      <c r="M141" s="916"/>
      <c r="N141" s="916"/>
      <c r="O141" s="916"/>
      <c r="P141" s="916"/>
      <c r="Q141" s="916"/>
      <c r="R141" s="916"/>
      <c r="S141" s="916"/>
      <c r="T141" s="916"/>
      <c r="U141" s="916"/>
      <c r="V141" s="916"/>
      <c r="W141" s="916"/>
      <c r="X141" s="916"/>
      <c r="Y141" s="916"/>
      <c r="Z141" s="916"/>
      <c r="AA141" s="916"/>
      <c r="AB141" s="916"/>
      <c r="AC141" s="916"/>
      <c r="AD141" s="916"/>
      <c r="AE141" s="916"/>
      <c r="AF141" s="916"/>
      <c r="AG141" s="916"/>
      <c r="AH141" s="916"/>
      <c r="AI141" s="916"/>
      <c r="AJ141" s="1144"/>
      <c r="AK141" s="1144"/>
      <c r="AL141" s="1144"/>
      <c r="AM141" s="1144"/>
      <c r="AN141" s="1144"/>
      <c r="AO141" s="1144"/>
      <c r="AP141" s="1144"/>
      <c r="AQ141" s="1144"/>
      <c r="AR141" s="1144"/>
      <c r="AS141" s="916"/>
      <c r="AT141" s="1144"/>
      <c r="AU141" s="1144"/>
      <c r="AV141" s="1144"/>
      <c r="AW141" s="1144"/>
      <c r="AX141" s="1144"/>
      <c r="AY141" s="1144"/>
      <c r="AZ141" s="1144"/>
      <c r="BA141" s="1144"/>
      <c r="BB141" s="1144"/>
      <c r="BC141" s="1144"/>
      <c r="BD141" s="1144"/>
      <c r="BE141" s="1144"/>
      <c r="BF141" s="1144"/>
      <c r="BG141" s="1144"/>
      <c r="BH141" s="1144"/>
      <c r="BI141" s="1144"/>
      <c r="BJ141" s="1144"/>
      <c r="BK141" s="1144"/>
      <c r="BL141" s="1144"/>
      <c r="BM141" s="1148"/>
      <c r="BN141" s="1148"/>
      <c r="BO141" s="1148"/>
      <c r="BP141" s="1148"/>
      <c r="BQ141" s="1148"/>
      <c r="BR141" s="1148"/>
      <c r="BS141" s="1148"/>
      <c r="BT141" s="1148"/>
    </row>
    <row r="142" spans="1:72" ht="17.45" customHeight="1">
      <c r="A142" s="916"/>
      <c r="B142" s="916"/>
      <c r="C142" s="916"/>
      <c r="D142" s="916"/>
      <c r="E142" s="916"/>
      <c r="F142" s="916"/>
      <c r="G142" s="916"/>
      <c r="H142" s="916"/>
      <c r="I142" s="916"/>
      <c r="J142" s="916"/>
      <c r="K142" s="916"/>
      <c r="L142" s="916"/>
      <c r="M142" s="916"/>
      <c r="N142" s="916"/>
      <c r="O142" s="916"/>
      <c r="P142" s="916"/>
      <c r="Q142" s="916"/>
      <c r="R142" s="916"/>
      <c r="S142" s="916"/>
      <c r="T142" s="916"/>
      <c r="U142" s="916"/>
      <c r="V142" s="916"/>
      <c r="W142" s="916"/>
      <c r="X142" s="916"/>
      <c r="Y142" s="916"/>
      <c r="Z142" s="916"/>
      <c r="AA142" s="916"/>
      <c r="AB142" s="916"/>
      <c r="AC142" s="916"/>
      <c r="AD142" s="916"/>
      <c r="AE142" s="916"/>
      <c r="AF142" s="916"/>
      <c r="AG142" s="916"/>
      <c r="AH142" s="916"/>
      <c r="AI142" s="916"/>
      <c r="AJ142" s="1144"/>
      <c r="AK142" s="1144"/>
      <c r="AL142" s="1144"/>
      <c r="AM142" s="1144"/>
      <c r="AN142" s="1144"/>
      <c r="AO142" s="1144"/>
      <c r="AP142" s="1144"/>
      <c r="AQ142" s="1144"/>
      <c r="AR142" s="1144"/>
      <c r="AS142" s="916"/>
      <c r="AT142" s="1144"/>
      <c r="AU142" s="1144"/>
      <c r="AV142" s="1144"/>
      <c r="AW142" s="1144"/>
      <c r="AX142" s="1144"/>
      <c r="AY142" s="1144"/>
      <c r="AZ142" s="1144"/>
      <c r="BA142" s="1144"/>
      <c r="BB142" s="1144"/>
      <c r="BC142" s="1144"/>
      <c r="BD142" s="1144"/>
      <c r="BE142" s="1144"/>
      <c r="BF142" s="1144"/>
      <c r="BG142" s="1144"/>
      <c r="BH142" s="1144"/>
      <c r="BI142" s="1144"/>
      <c r="BJ142" s="1144"/>
      <c r="BK142" s="1144"/>
      <c r="BL142" s="1144"/>
      <c r="BM142" s="1148"/>
      <c r="BN142" s="1148"/>
      <c r="BO142" s="1148"/>
      <c r="BP142" s="1148"/>
      <c r="BQ142" s="1148"/>
      <c r="BR142" s="1148"/>
      <c r="BS142" s="1148"/>
      <c r="BT142" s="1148"/>
    </row>
    <row r="143" spans="1:72" ht="17.45" customHeight="1">
      <c r="A143" s="916"/>
      <c r="B143" s="916"/>
      <c r="C143" s="916"/>
      <c r="D143" s="916"/>
      <c r="E143" s="916"/>
      <c r="F143" s="916"/>
      <c r="G143" s="916"/>
      <c r="H143" s="916"/>
      <c r="I143" s="916"/>
      <c r="J143" s="916"/>
      <c r="K143" s="916"/>
      <c r="L143" s="916"/>
      <c r="M143" s="916"/>
      <c r="N143" s="916"/>
      <c r="O143" s="916"/>
      <c r="P143" s="916"/>
      <c r="Q143" s="916"/>
      <c r="R143" s="916"/>
      <c r="S143" s="916"/>
      <c r="T143" s="916"/>
      <c r="U143" s="916"/>
      <c r="V143" s="916"/>
      <c r="W143" s="916"/>
      <c r="X143" s="916"/>
      <c r="Y143" s="916"/>
      <c r="Z143" s="916"/>
      <c r="AA143" s="916"/>
      <c r="AB143" s="916"/>
      <c r="AC143" s="916"/>
      <c r="AD143" s="916"/>
      <c r="AE143" s="916"/>
      <c r="AF143" s="916"/>
      <c r="AG143" s="916"/>
      <c r="AH143" s="916"/>
      <c r="AI143" s="916"/>
      <c r="AJ143" s="1144"/>
      <c r="AK143" s="1144"/>
      <c r="AL143" s="1144"/>
      <c r="AM143" s="1144"/>
      <c r="AN143" s="1144"/>
      <c r="AO143" s="1144"/>
      <c r="AP143" s="1144"/>
      <c r="AQ143" s="1144"/>
      <c r="AR143" s="1144"/>
      <c r="AS143" s="916"/>
      <c r="AT143" s="1144"/>
      <c r="AU143" s="1144"/>
      <c r="AV143" s="1144"/>
      <c r="AW143" s="1144"/>
      <c r="AX143" s="1144"/>
      <c r="AY143" s="1144"/>
      <c r="AZ143" s="1144"/>
      <c r="BA143" s="1144"/>
      <c r="BB143" s="1144"/>
      <c r="BC143" s="1144"/>
      <c r="BD143" s="1144"/>
      <c r="BE143" s="1144"/>
      <c r="BF143" s="1144"/>
      <c r="BG143" s="1144"/>
      <c r="BH143" s="1144"/>
      <c r="BI143" s="1144"/>
      <c r="BJ143" s="1144"/>
      <c r="BK143" s="1144"/>
      <c r="BL143" s="1144"/>
      <c r="BM143" s="1148"/>
      <c r="BN143" s="1148"/>
      <c r="BO143" s="1148"/>
      <c r="BP143" s="1148"/>
      <c r="BQ143" s="1148"/>
      <c r="BR143" s="1148"/>
      <c r="BS143" s="1148"/>
      <c r="BT143" s="1148"/>
    </row>
    <row r="144" spans="1:72" ht="17.45" customHeight="1">
      <c r="A144" s="916"/>
      <c r="B144" s="916"/>
      <c r="C144" s="916"/>
      <c r="D144" s="916"/>
      <c r="E144" s="916"/>
      <c r="F144" s="916"/>
      <c r="G144" s="916"/>
      <c r="H144" s="916"/>
      <c r="I144" s="916"/>
      <c r="J144" s="916"/>
      <c r="K144" s="916"/>
      <c r="L144" s="916"/>
      <c r="M144" s="916"/>
      <c r="N144" s="916"/>
      <c r="O144" s="916"/>
      <c r="P144" s="916"/>
      <c r="Q144" s="916"/>
      <c r="R144" s="916"/>
      <c r="S144" s="916"/>
      <c r="T144" s="916"/>
      <c r="U144" s="916"/>
      <c r="V144" s="916"/>
      <c r="W144" s="916"/>
      <c r="X144" s="916"/>
      <c r="Y144" s="916"/>
      <c r="Z144" s="916"/>
      <c r="AA144" s="916"/>
      <c r="AB144" s="916"/>
      <c r="AC144" s="916"/>
      <c r="AD144" s="916"/>
      <c r="AE144" s="916"/>
      <c r="AF144" s="916"/>
      <c r="AG144" s="916"/>
      <c r="AH144" s="916"/>
      <c r="AI144" s="916"/>
      <c r="AJ144" s="1144"/>
      <c r="AK144" s="1144"/>
      <c r="AL144" s="1144"/>
      <c r="AM144" s="1144"/>
      <c r="AN144" s="1144"/>
      <c r="AO144" s="1144"/>
      <c r="AP144" s="1144"/>
      <c r="AQ144" s="1144"/>
      <c r="AR144" s="1144"/>
      <c r="AS144" s="916"/>
      <c r="AT144" s="1144"/>
      <c r="AU144" s="1144"/>
      <c r="AV144" s="1144"/>
      <c r="AW144" s="1144"/>
      <c r="AX144" s="1144"/>
      <c r="AY144" s="1144"/>
      <c r="AZ144" s="1144"/>
      <c r="BA144" s="1144"/>
      <c r="BB144" s="1144"/>
      <c r="BC144" s="1144"/>
      <c r="BD144" s="1144"/>
      <c r="BE144" s="1144"/>
      <c r="BF144" s="1144"/>
      <c r="BG144" s="1144"/>
      <c r="BH144" s="1144"/>
      <c r="BI144" s="1144"/>
      <c r="BJ144" s="1144"/>
      <c r="BK144" s="1144"/>
      <c r="BL144" s="1144"/>
      <c r="BM144" s="1148"/>
      <c r="BN144" s="1148"/>
      <c r="BO144" s="1148"/>
      <c r="BP144" s="1148"/>
      <c r="BQ144" s="1148"/>
      <c r="BR144" s="1148"/>
      <c r="BS144" s="1148"/>
      <c r="BT144" s="1148"/>
    </row>
    <row r="145" spans="1:72" ht="17.45" customHeight="1">
      <c r="A145" s="916"/>
      <c r="B145" s="916"/>
      <c r="C145" s="916"/>
      <c r="D145" s="916"/>
      <c r="E145" s="916"/>
      <c r="F145" s="916"/>
      <c r="G145" s="916"/>
      <c r="H145" s="916"/>
      <c r="I145" s="916"/>
      <c r="J145" s="916"/>
      <c r="K145" s="916"/>
      <c r="L145" s="916"/>
      <c r="M145" s="916"/>
      <c r="N145" s="916"/>
      <c r="O145" s="916"/>
      <c r="P145" s="916"/>
      <c r="Q145" s="916"/>
      <c r="R145" s="916"/>
      <c r="S145" s="916"/>
      <c r="T145" s="916"/>
      <c r="U145" s="916"/>
      <c r="V145" s="916"/>
      <c r="W145" s="916"/>
      <c r="X145" s="916"/>
      <c r="Y145" s="916"/>
      <c r="Z145" s="916"/>
      <c r="AA145" s="916"/>
      <c r="AB145" s="916"/>
      <c r="AC145" s="916"/>
      <c r="AD145" s="916"/>
      <c r="AE145" s="916"/>
      <c r="AF145" s="916"/>
      <c r="AG145" s="916"/>
      <c r="AH145" s="916"/>
      <c r="AI145" s="916"/>
      <c r="AJ145" s="1144"/>
      <c r="AK145" s="1144"/>
      <c r="AL145" s="1144"/>
      <c r="AM145" s="1144"/>
      <c r="AN145" s="1144"/>
      <c r="AO145" s="1144"/>
      <c r="AP145" s="1144"/>
      <c r="AQ145" s="1144"/>
      <c r="AR145" s="1144"/>
      <c r="AS145" s="916"/>
      <c r="AT145" s="1144"/>
      <c r="AU145" s="1144"/>
      <c r="AV145" s="1144"/>
      <c r="AW145" s="1144"/>
      <c r="AX145" s="1144"/>
      <c r="AY145" s="1144"/>
      <c r="AZ145" s="1144"/>
      <c r="BA145" s="1144"/>
      <c r="BB145" s="1144"/>
      <c r="BC145" s="1144"/>
      <c r="BD145" s="1144"/>
      <c r="BE145" s="1144"/>
      <c r="BF145" s="1144"/>
      <c r="BG145" s="1144"/>
      <c r="BH145" s="1144"/>
      <c r="BI145" s="1144"/>
      <c r="BJ145" s="1144"/>
      <c r="BK145" s="1144"/>
      <c r="BL145" s="1144"/>
      <c r="BM145" s="1148"/>
      <c r="BN145" s="1148"/>
      <c r="BO145" s="1148"/>
      <c r="BP145" s="1148"/>
      <c r="BQ145" s="1148"/>
      <c r="BR145" s="1148"/>
      <c r="BS145" s="1148"/>
      <c r="BT145" s="1148"/>
    </row>
    <row r="146" spans="1:72" ht="17.45" customHeight="1">
      <c r="A146" s="916"/>
      <c r="B146" s="916"/>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c r="AA146" s="916"/>
      <c r="AB146" s="916"/>
      <c r="AC146" s="916"/>
      <c r="AD146" s="916"/>
      <c r="AE146" s="916"/>
      <c r="AF146" s="916"/>
      <c r="AG146" s="916"/>
      <c r="AH146" s="916"/>
      <c r="AI146" s="916"/>
      <c r="AJ146" s="1144"/>
      <c r="AK146" s="1144"/>
      <c r="AL146" s="1144"/>
      <c r="AM146" s="1144"/>
      <c r="AN146" s="1144"/>
      <c r="AO146" s="1144"/>
      <c r="AP146" s="1144"/>
      <c r="AQ146" s="1144"/>
      <c r="AR146" s="1144"/>
      <c r="AS146" s="916"/>
      <c r="AT146" s="1144"/>
      <c r="AU146" s="1144"/>
      <c r="AV146" s="1144"/>
      <c r="AW146" s="1144"/>
      <c r="AX146" s="1144"/>
      <c r="AY146" s="1144"/>
      <c r="AZ146" s="1144"/>
      <c r="BA146" s="1144"/>
      <c r="BB146" s="1144"/>
      <c r="BC146" s="1144"/>
      <c r="BD146" s="1144"/>
      <c r="BE146" s="1144"/>
      <c r="BF146" s="1144"/>
      <c r="BG146" s="1144"/>
      <c r="BH146" s="1144"/>
      <c r="BI146" s="1144"/>
      <c r="BJ146" s="1144"/>
      <c r="BK146" s="1144"/>
      <c r="BL146" s="1144"/>
      <c r="BM146" s="1148"/>
      <c r="BN146" s="1148"/>
      <c r="BO146" s="1148"/>
      <c r="BP146" s="1148"/>
      <c r="BQ146" s="1148"/>
      <c r="BR146" s="1148"/>
      <c r="BS146" s="1148"/>
      <c r="BT146" s="1148"/>
    </row>
    <row r="147" spans="1:72" ht="17.45" customHeight="1">
      <c r="A147" s="916"/>
      <c r="B147" s="916"/>
      <c r="C147" s="916"/>
      <c r="D147" s="916"/>
      <c r="E147" s="916"/>
      <c r="F147" s="916"/>
      <c r="G147" s="916"/>
      <c r="H147" s="916"/>
      <c r="I147" s="916"/>
      <c r="J147" s="916"/>
      <c r="K147" s="916"/>
      <c r="L147" s="916"/>
      <c r="M147" s="916"/>
      <c r="N147" s="916"/>
      <c r="O147" s="916"/>
      <c r="P147" s="916"/>
      <c r="Q147" s="916"/>
      <c r="R147" s="916"/>
      <c r="S147" s="916"/>
      <c r="T147" s="916"/>
      <c r="U147" s="916"/>
      <c r="V147" s="916"/>
      <c r="W147" s="916"/>
      <c r="X147" s="916"/>
      <c r="Y147" s="916"/>
      <c r="Z147" s="916"/>
      <c r="AA147" s="916"/>
      <c r="AB147" s="916"/>
      <c r="AC147" s="916"/>
      <c r="AD147" s="916"/>
      <c r="AE147" s="916"/>
      <c r="AF147" s="916"/>
      <c r="AG147" s="916"/>
      <c r="AH147" s="916"/>
      <c r="AI147" s="916"/>
      <c r="AJ147" s="1144"/>
      <c r="AK147" s="1144"/>
      <c r="AL147" s="1144"/>
      <c r="AM147" s="1144"/>
      <c r="AN147" s="1144"/>
      <c r="AO147" s="1144"/>
      <c r="AP147" s="1144"/>
      <c r="AQ147" s="1144"/>
      <c r="AR147" s="1144"/>
      <c r="AS147" s="916"/>
      <c r="AT147" s="1144"/>
      <c r="AU147" s="1144"/>
      <c r="AV147" s="1144"/>
      <c r="AW147" s="1144"/>
      <c r="AX147" s="1144"/>
      <c r="AY147" s="1144"/>
      <c r="AZ147" s="1144"/>
      <c r="BA147" s="1144"/>
      <c r="BB147" s="1144"/>
      <c r="BC147" s="1144"/>
      <c r="BD147" s="1144"/>
      <c r="BE147" s="1144"/>
      <c r="BF147" s="1144"/>
      <c r="BG147" s="1144"/>
      <c r="BH147" s="1144"/>
      <c r="BI147" s="1144"/>
      <c r="BJ147" s="1144"/>
      <c r="BK147" s="1144"/>
      <c r="BL147" s="1144"/>
      <c r="BM147" s="1148"/>
      <c r="BN147" s="1148"/>
      <c r="BO147" s="1148"/>
      <c r="BP147" s="1148"/>
      <c r="BQ147" s="1148"/>
      <c r="BR147" s="1148"/>
      <c r="BS147" s="1148"/>
      <c r="BT147" s="1148"/>
    </row>
    <row r="148" spans="1:72" ht="17.45" customHeight="1">
      <c r="A148" s="916"/>
      <c r="B148" s="916"/>
      <c r="C148" s="916"/>
      <c r="D148" s="916"/>
      <c r="E148" s="916"/>
      <c r="F148" s="916"/>
      <c r="G148" s="916"/>
      <c r="H148" s="916"/>
      <c r="I148" s="916"/>
      <c r="J148" s="916"/>
      <c r="K148" s="916"/>
      <c r="L148" s="916"/>
      <c r="M148" s="916"/>
      <c r="N148" s="916"/>
      <c r="O148" s="916"/>
      <c r="P148" s="916"/>
      <c r="Q148" s="916"/>
      <c r="R148" s="916"/>
      <c r="S148" s="916"/>
      <c r="T148" s="916"/>
      <c r="U148" s="916"/>
      <c r="V148" s="916"/>
      <c r="W148" s="916"/>
      <c r="X148" s="916"/>
      <c r="Y148" s="916"/>
      <c r="Z148" s="916"/>
      <c r="AA148" s="916"/>
      <c r="AB148" s="916"/>
      <c r="AC148" s="916"/>
      <c r="AD148" s="916"/>
      <c r="AE148" s="916"/>
      <c r="AF148" s="916"/>
      <c r="AG148" s="916"/>
      <c r="AH148" s="916"/>
      <c r="AI148" s="916"/>
      <c r="AJ148" s="1144"/>
      <c r="AK148" s="1144"/>
      <c r="AL148" s="1144"/>
      <c r="AM148" s="1144"/>
      <c r="AN148" s="1144"/>
      <c r="AO148" s="1144"/>
      <c r="AP148" s="1144"/>
      <c r="AQ148" s="1144"/>
      <c r="AR148" s="1144"/>
      <c r="AS148" s="916"/>
      <c r="AT148" s="1144"/>
      <c r="AU148" s="1144"/>
      <c r="AV148" s="1144"/>
      <c r="AW148" s="1144"/>
      <c r="AX148" s="1144"/>
      <c r="AY148" s="1144"/>
      <c r="AZ148" s="1144"/>
      <c r="BA148" s="1144"/>
      <c r="BB148" s="1144"/>
      <c r="BC148" s="1144"/>
      <c r="BD148" s="1144"/>
      <c r="BE148" s="1144"/>
      <c r="BF148" s="1144"/>
      <c r="BG148" s="1144"/>
      <c r="BH148" s="1144"/>
      <c r="BI148" s="1144"/>
      <c r="BJ148" s="1144"/>
      <c r="BK148" s="1144"/>
      <c r="BL148" s="1144"/>
      <c r="BM148" s="1148"/>
      <c r="BN148" s="1148"/>
      <c r="BO148" s="1148"/>
      <c r="BP148" s="1148"/>
      <c r="BQ148" s="1148"/>
      <c r="BR148" s="1148"/>
      <c r="BS148" s="1148"/>
      <c r="BT148" s="1148"/>
    </row>
    <row r="149" spans="1:72" ht="17.45" customHeight="1">
      <c r="A149" s="916"/>
      <c r="B149" s="916"/>
      <c r="C149" s="916"/>
      <c r="D149" s="916"/>
      <c r="E149" s="916"/>
      <c r="F149" s="916"/>
      <c r="G149" s="916"/>
      <c r="H149" s="916"/>
      <c r="I149" s="916"/>
      <c r="J149" s="916"/>
      <c r="K149" s="916"/>
      <c r="L149" s="916"/>
      <c r="M149" s="916"/>
      <c r="N149" s="916"/>
      <c r="O149" s="916"/>
      <c r="P149" s="916"/>
      <c r="Q149" s="916"/>
      <c r="R149" s="916"/>
      <c r="S149" s="916"/>
      <c r="T149" s="916"/>
      <c r="U149" s="916"/>
      <c r="V149" s="916"/>
      <c r="W149" s="916"/>
      <c r="X149" s="916"/>
      <c r="Y149" s="916"/>
      <c r="Z149" s="916"/>
      <c r="AA149" s="916"/>
      <c r="AB149" s="916"/>
      <c r="AC149" s="916"/>
      <c r="AD149" s="916"/>
      <c r="AE149" s="916"/>
      <c r="AF149" s="916"/>
      <c r="AG149" s="916"/>
      <c r="AH149" s="916"/>
      <c r="AI149" s="916"/>
      <c r="AJ149" s="1144"/>
      <c r="AK149" s="1144"/>
      <c r="AL149" s="1144"/>
      <c r="AM149" s="1144"/>
      <c r="AN149" s="1144"/>
      <c r="AO149" s="1144"/>
      <c r="AP149" s="1144"/>
      <c r="AQ149" s="1144"/>
      <c r="AR149" s="1144"/>
      <c r="AS149" s="916"/>
      <c r="AT149" s="1144"/>
      <c r="AU149" s="1144"/>
      <c r="AV149" s="1144"/>
      <c r="AW149" s="1144"/>
      <c r="AX149" s="1144"/>
      <c r="AY149" s="1144"/>
      <c r="AZ149" s="1144"/>
      <c r="BA149" s="1144"/>
      <c r="BB149" s="1144"/>
      <c r="BC149" s="1144"/>
      <c r="BD149" s="1144"/>
      <c r="BE149" s="1144"/>
      <c r="BF149" s="1144"/>
      <c r="BG149" s="1144"/>
      <c r="BH149" s="1144"/>
      <c r="BI149" s="1144"/>
      <c r="BJ149" s="1144"/>
      <c r="BK149" s="1144"/>
      <c r="BL149" s="1144"/>
      <c r="BM149" s="1148"/>
      <c r="BN149" s="1148"/>
      <c r="BO149" s="1148"/>
      <c r="BP149" s="1148"/>
      <c r="BQ149" s="1148"/>
      <c r="BR149" s="1148"/>
      <c r="BS149" s="1148"/>
      <c r="BT149" s="1148"/>
    </row>
    <row r="150" spans="1:72" ht="17.45" customHeight="1">
      <c r="A150" s="916"/>
      <c r="B150" s="916"/>
      <c r="C150" s="916"/>
      <c r="D150" s="916"/>
      <c r="E150" s="916"/>
      <c r="F150" s="916"/>
      <c r="G150" s="916"/>
      <c r="H150" s="916"/>
      <c r="I150" s="916"/>
      <c r="J150" s="916"/>
      <c r="K150" s="916"/>
      <c r="L150" s="916"/>
      <c r="M150" s="916"/>
      <c r="N150" s="916"/>
      <c r="O150" s="916"/>
      <c r="P150" s="916"/>
      <c r="Q150" s="916"/>
      <c r="R150" s="916"/>
      <c r="S150" s="916"/>
      <c r="T150" s="916"/>
      <c r="U150" s="916"/>
      <c r="V150" s="916"/>
      <c r="W150" s="916"/>
      <c r="X150" s="916"/>
      <c r="Y150" s="916"/>
      <c r="Z150" s="916"/>
      <c r="AA150" s="916"/>
      <c r="AB150" s="916"/>
      <c r="AC150" s="916"/>
      <c r="AD150" s="916"/>
      <c r="AE150" s="916"/>
      <c r="AF150" s="916"/>
      <c r="AG150" s="916"/>
      <c r="AH150" s="916"/>
      <c r="AI150" s="916"/>
      <c r="AJ150" s="1144"/>
      <c r="AK150" s="1144"/>
      <c r="AL150" s="1144"/>
      <c r="AM150" s="1144"/>
      <c r="AN150" s="1144"/>
      <c r="AO150" s="1144"/>
      <c r="AP150" s="1144"/>
      <c r="AQ150" s="1144"/>
      <c r="AR150" s="1144"/>
      <c r="AS150" s="916"/>
      <c r="AT150" s="1144"/>
      <c r="AU150" s="1144"/>
      <c r="AV150" s="1144"/>
      <c r="AW150" s="1144"/>
      <c r="AX150" s="1144"/>
      <c r="AY150" s="1144"/>
      <c r="AZ150" s="1144"/>
      <c r="BA150" s="1144"/>
      <c r="BB150" s="1144"/>
      <c r="BC150" s="1144"/>
      <c r="BD150" s="1144"/>
      <c r="BE150" s="1144"/>
      <c r="BF150" s="1144"/>
      <c r="BG150" s="1144"/>
      <c r="BH150" s="1144"/>
      <c r="BI150" s="1144"/>
      <c r="BJ150" s="1144"/>
      <c r="BK150" s="1144"/>
      <c r="BL150" s="1144"/>
      <c r="BM150" s="1148"/>
      <c r="BN150" s="1148"/>
      <c r="BO150" s="1148"/>
      <c r="BP150" s="1148"/>
      <c r="BQ150" s="1148"/>
      <c r="BR150" s="1148"/>
      <c r="BS150" s="1148"/>
      <c r="BT150" s="1148"/>
    </row>
    <row r="151" spans="1:72" ht="17.45" customHeight="1">
      <c r="A151" s="916"/>
      <c r="B151" s="916"/>
      <c r="C151" s="916"/>
      <c r="D151" s="916"/>
      <c r="E151" s="916"/>
      <c r="F151" s="916"/>
      <c r="G151" s="916"/>
      <c r="H151" s="916"/>
      <c r="I151" s="916"/>
      <c r="J151" s="916"/>
      <c r="K151" s="916"/>
      <c r="L151" s="916"/>
      <c r="M151" s="916"/>
      <c r="N151" s="916"/>
      <c r="O151" s="916"/>
      <c r="P151" s="916"/>
      <c r="Q151" s="916"/>
      <c r="R151" s="916"/>
      <c r="S151" s="916"/>
      <c r="T151" s="916"/>
      <c r="U151" s="916"/>
      <c r="V151" s="916"/>
      <c r="W151" s="916"/>
      <c r="X151" s="916"/>
      <c r="Y151" s="916"/>
      <c r="Z151" s="916"/>
      <c r="AA151" s="916"/>
      <c r="AB151" s="916"/>
      <c r="AC151" s="916"/>
      <c r="AD151" s="916"/>
      <c r="AE151" s="916"/>
      <c r="AF151" s="916"/>
      <c r="AG151" s="916"/>
      <c r="AH151" s="916"/>
      <c r="AI151" s="916"/>
      <c r="AJ151" s="1144"/>
      <c r="AK151" s="1144"/>
      <c r="AL151" s="1144"/>
      <c r="AM151" s="1144"/>
      <c r="AN151" s="1144"/>
      <c r="AO151" s="1144"/>
      <c r="AP151" s="1144"/>
      <c r="AQ151" s="1144"/>
      <c r="AR151" s="1144"/>
      <c r="AS151" s="916"/>
      <c r="AT151" s="1144"/>
      <c r="AU151" s="1144"/>
      <c r="AV151" s="1144"/>
      <c r="AW151" s="1144"/>
      <c r="AX151" s="1144"/>
      <c r="AY151" s="1144"/>
      <c r="AZ151" s="1144"/>
      <c r="BA151" s="1144"/>
      <c r="BB151" s="1144"/>
      <c r="BC151" s="1144"/>
      <c r="BD151" s="1144"/>
      <c r="BE151" s="1144"/>
      <c r="BF151" s="1144"/>
      <c r="BG151" s="1144"/>
      <c r="BH151" s="1144"/>
      <c r="BI151" s="1144"/>
      <c r="BJ151" s="1144"/>
      <c r="BK151" s="1144"/>
      <c r="BL151" s="1144"/>
      <c r="BM151" s="1148"/>
      <c r="BN151" s="1148"/>
      <c r="BO151" s="1148"/>
      <c r="BP151" s="1148"/>
      <c r="BQ151" s="1148"/>
      <c r="BR151" s="1148"/>
      <c r="BS151" s="1148"/>
      <c r="BT151" s="1148"/>
    </row>
    <row r="152" spans="1:72" ht="17.45" customHeight="1">
      <c r="A152" s="916"/>
      <c r="B152" s="916"/>
      <c r="C152" s="916"/>
      <c r="D152" s="916"/>
      <c r="E152" s="916"/>
      <c r="F152" s="916"/>
      <c r="G152" s="916"/>
      <c r="H152" s="916"/>
      <c r="I152" s="916"/>
      <c r="J152" s="916"/>
      <c r="K152" s="916"/>
      <c r="L152" s="916"/>
      <c r="M152" s="916"/>
      <c r="N152" s="916"/>
      <c r="O152" s="916"/>
      <c r="P152" s="916"/>
      <c r="Q152" s="916"/>
      <c r="R152" s="916"/>
      <c r="S152" s="916"/>
      <c r="T152" s="916"/>
      <c r="U152" s="916"/>
      <c r="V152" s="916"/>
      <c r="W152" s="916"/>
      <c r="X152" s="916"/>
      <c r="Y152" s="916"/>
      <c r="Z152" s="916"/>
      <c r="AA152" s="916"/>
      <c r="AB152" s="916"/>
      <c r="AC152" s="916"/>
      <c r="AD152" s="916"/>
      <c r="AE152" s="916"/>
      <c r="AF152" s="916"/>
      <c r="AG152" s="916"/>
      <c r="AH152" s="916"/>
      <c r="AI152" s="916"/>
      <c r="AJ152" s="1144"/>
      <c r="AK152" s="1144"/>
      <c r="AL152" s="1144"/>
      <c r="AM152" s="1144"/>
      <c r="AN152" s="1144"/>
      <c r="AO152" s="1144"/>
      <c r="AP152" s="1144"/>
      <c r="AQ152" s="1144"/>
      <c r="AR152" s="1144"/>
      <c r="AS152" s="916"/>
      <c r="AT152" s="1144"/>
      <c r="AU152" s="1144"/>
      <c r="AV152" s="1144"/>
      <c r="AW152" s="1144"/>
      <c r="AX152" s="1144"/>
      <c r="AY152" s="1144"/>
      <c r="AZ152" s="1144"/>
      <c r="BA152" s="1144"/>
      <c r="BB152" s="1144"/>
      <c r="BC152" s="1144"/>
      <c r="BD152" s="1144"/>
      <c r="BE152" s="1144"/>
      <c r="BF152" s="1144"/>
      <c r="BG152" s="1144"/>
      <c r="BH152" s="1144"/>
      <c r="BI152" s="1144"/>
      <c r="BJ152" s="1144"/>
      <c r="BK152" s="1144"/>
      <c r="BL152" s="1144"/>
      <c r="BM152" s="1148"/>
      <c r="BN152" s="1148"/>
      <c r="BO152" s="1148"/>
      <c r="BP152" s="1148"/>
      <c r="BQ152" s="1148"/>
      <c r="BR152" s="1148"/>
      <c r="BS152" s="1148"/>
      <c r="BT152" s="1148"/>
    </row>
    <row r="153" spans="1:72" ht="17.45" customHeight="1">
      <c r="A153" s="916"/>
      <c r="B153" s="916"/>
      <c r="C153" s="916"/>
      <c r="D153" s="916"/>
      <c r="E153" s="916"/>
      <c r="F153" s="916"/>
      <c r="G153" s="916"/>
      <c r="H153" s="916"/>
      <c r="I153" s="916"/>
      <c r="J153" s="916"/>
      <c r="K153" s="916"/>
      <c r="L153" s="916"/>
      <c r="M153" s="916"/>
      <c r="N153" s="916"/>
      <c r="O153" s="916"/>
      <c r="P153" s="916"/>
      <c r="Q153" s="916"/>
      <c r="R153" s="916"/>
      <c r="S153" s="916"/>
      <c r="T153" s="916"/>
      <c r="U153" s="916"/>
      <c r="V153" s="916"/>
      <c r="W153" s="916"/>
      <c r="X153" s="916"/>
      <c r="Y153" s="916"/>
      <c r="Z153" s="916"/>
      <c r="AA153" s="916"/>
      <c r="AB153" s="916"/>
      <c r="AC153" s="916"/>
      <c r="AD153" s="916"/>
      <c r="AE153" s="916"/>
      <c r="AF153" s="916"/>
      <c r="AG153" s="916"/>
      <c r="AH153" s="916"/>
      <c r="AI153" s="916"/>
      <c r="AJ153" s="1144"/>
      <c r="AK153" s="1144"/>
      <c r="AL153" s="1144"/>
      <c r="AM153" s="1144"/>
      <c r="AN153" s="1144"/>
      <c r="AO153" s="1144"/>
      <c r="AP153" s="1144"/>
      <c r="AQ153" s="1144"/>
      <c r="AR153" s="1144"/>
      <c r="AS153" s="916"/>
      <c r="AT153" s="1144"/>
      <c r="AU153" s="1144"/>
      <c r="AV153" s="1144"/>
      <c r="AW153" s="1144"/>
      <c r="AX153" s="1144"/>
      <c r="AY153" s="1144"/>
      <c r="AZ153" s="1144"/>
      <c r="BA153" s="1144"/>
      <c r="BB153" s="1144"/>
      <c r="BC153" s="1144"/>
      <c r="BD153" s="1144"/>
      <c r="BE153" s="1144"/>
      <c r="BF153" s="1144"/>
      <c r="BG153" s="1144"/>
      <c r="BH153" s="1144"/>
      <c r="BI153" s="1144"/>
      <c r="BJ153" s="1144"/>
      <c r="BK153" s="1144"/>
      <c r="BL153" s="1144"/>
      <c r="BM153" s="1148"/>
      <c r="BN153" s="1148"/>
      <c r="BO153" s="1148"/>
      <c r="BP153" s="1148"/>
      <c r="BQ153" s="1148"/>
      <c r="BR153" s="1148"/>
      <c r="BS153" s="1148"/>
      <c r="BT153" s="1148"/>
    </row>
    <row r="154" spans="1:72" ht="17.45" customHeight="1">
      <c r="A154" s="916"/>
      <c r="B154" s="916"/>
      <c r="C154" s="916"/>
      <c r="D154" s="916"/>
      <c r="E154" s="916"/>
      <c r="F154" s="916"/>
      <c r="G154" s="916"/>
      <c r="H154" s="916"/>
      <c r="I154" s="916"/>
      <c r="J154" s="916"/>
      <c r="K154" s="916"/>
      <c r="L154" s="916"/>
      <c r="M154" s="916"/>
      <c r="N154" s="916"/>
      <c r="O154" s="916"/>
      <c r="P154" s="916"/>
      <c r="Q154" s="916"/>
      <c r="R154" s="916"/>
      <c r="S154" s="916"/>
      <c r="T154" s="916"/>
      <c r="U154" s="916"/>
      <c r="V154" s="916"/>
      <c r="W154" s="916"/>
      <c r="X154" s="916"/>
      <c r="Y154" s="916"/>
      <c r="Z154" s="916"/>
      <c r="AA154" s="916"/>
      <c r="AB154" s="916"/>
      <c r="AC154" s="916"/>
      <c r="AD154" s="916"/>
      <c r="AE154" s="916"/>
      <c r="AF154" s="916"/>
      <c r="AG154" s="916"/>
      <c r="AH154" s="916"/>
      <c r="AI154" s="916"/>
      <c r="AJ154" s="1144"/>
      <c r="AK154" s="1144"/>
      <c r="AL154" s="1144"/>
      <c r="AM154" s="1144"/>
      <c r="AN154" s="1144"/>
      <c r="AO154" s="1144"/>
      <c r="AP154" s="1144"/>
      <c r="AQ154" s="1144"/>
      <c r="AR154" s="1144"/>
      <c r="AS154" s="916"/>
      <c r="AT154" s="1144"/>
      <c r="AU154" s="1144"/>
      <c r="AV154" s="1144"/>
      <c r="AW154" s="1144"/>
      <c r="AX154" s="1144"/>
      <c r="AY154" s="1144"/>
      <c r="AZ154" s="1144"/>
      <c r="BA154" s="1144"/>
      <c r="BB154" s="1144"/>
      <c r="BC154" s="1144"/>
      <c r="BD154" s="1144"/>
      <c r="BE154" s="1144"/>
      <c r="BF154" s="1144"/>
      <c r="BG154" s="1144"/>
      <c r="BH154" s="1144"/>
      <c r="BI154" s="1144"/>
      <c r="BJ154" s="1144"/>
      <c r="BK154" s="1144"/>
      <c r="BL154" s="1144"/>
      <c r="BM154" s="1148"/>
      <c r="BN154" s="1148"/>
      <c r="BO154" s="1148"/>
      <c r="BP154" s="1148"/>
      <c r="BQ154" s="1148"/>
      <c r="BR154" s="1148"/>
      <c r="BS154" s="1148"/>
      <c r="BT154" s="1148"/>
    </row>
    <row r="155" spans="1:72" ht="17.45" customHeight="1">
      <c r="A155" s="916"/>
      <c r="B155" s="916"/>
      <c r="C155" s="916"/>
      <c r="D155" s="916"/>
      <c r="E155" s="916"/>
      <c r="F155" s="916"/>
      <c r="G155" s="916"/>
      <c r="H155" s="916"/>
      <c r="I155" s="916"/>
      <c r="J155" s="916"/>
      <c r="K155" s="916"/>
      <c r="L155" s="916"/>
      <c r="M155" s="916"/>
      <c r="N155" s="916"/>
      <c r="O155" s="916"/>
      <c r="P155" s="916"/>
      <c r="Q155" s="916"/>
      <c r="R155" s="916"/>
      <c r="S155" s="916"/>
      <c r="T155" s="916"/>
      <c r="U155" s="916"/>
      <c r="V155" s="916"/>
      <c r="W155" s="916"/>
      <c r="X155" s="916"/>
      <c r="Y155" s="916"/>
      <c r="Z155" s="916"/>
      <c r="AA155" s="916"/>
      <c r="AB155" s="916"/>
      <c r="AC155" s="916"/>
      <c r="AD155" s="916"/>
      <c r="AE155" s="916"/>
      <c r="AF155" s="916"/>
      <c r="AG155" s="916"/>
      <c r="AH155" s="916"/>
      <c r="AI155" s="916"/>
      <c r="AJ155" s="1144"/>
      <c r="AK155" s="1144"/>
      <c r="AL155" s="1144"/>
      <c r="AM155" s="1144"/>
      <c r="AN155" s="1144"/>
      <c r="AO155" s="1144"/>
      <c r="AP155" s="1144"/>
      <c r="AQ155" s="1144"/>
      <c r="AR155" s="1144"/>
      <c r="AS155" s="916"/>
      <c r="AT155" s="1144"/>
      <c r="AU155" s="1144"/>
      <c r="AV155" s="1144"/>
      <c r="AW155" s="1144"/>
      <c r="AX155" s="1144"/>
      <c r="AY155" s="1144"/>
      <c r="AZ155" s="1144"/>
      <c r="BA155" s="1144"/>
      <c r="BB155" s="1144"/>
      <c r="BC155" s="1144"/>
      <c r="BD155" s="1144"/>
      <c r="BE155" s="1144"/>
      <c r="BF155" s="1144"/>
      <c r="BG155" s="1144"/>
      <c r="BH155" s="1144"/>
      <c r="BI155" s="1144"/>
      <c r="BJ155" s="1144"/>
      <c r="BK155" s="1144"/>
      <c r="BL155" s="1144"/>
      <c r="BM155" s="1148"/>
      <c r="BN155" s="1148"/>
      <c r="BO155" s="1148"/>
      <c r="BP155" s="1148"/>
      <c r="BQ155" s="1148"/>
      <c r="BR155" s="1148"/>
      <c r="BS155" s="1148"/>
      <c r="BT155" s="1148"/>
    </row>
    <row r="156" spans="1:72" ht="17.45" customHeight="1">
      <c r="A156" s="916"/>
      <c r="B156" s="916"/>
      <c r="C156" s="916"/>
      <c r="D156" s="916"/>
      <c r="E156" s="916"/>
      <c r="F156" s="916"/>
      <c r="G156" s="916"/>
      <c r="H156" s="916"/>
      <c r="I156" s="916"/>
      <c r="J156" s="916"/>
      <c r="K156" s="916"/>
      <c r="L156" s="916"/>
      <c r="M156" s="916"/>
      <c r="N156" s="916"/>
      <c r="O156" s="916"/>
      <c r="P156" s="916"/>
      <c r="Q156" s="916"/>
      <c r="R156" s="916"/>
      <c r="S156" s="916"/>
      <c r="T156" s="916"/>
      <c r="U156" s="916"/>
      <c r="V156" s="916"/>
      <c r="W156" s="916"/>
      <c r="X156" s="916"/>
      <c r="Y156" s="916"/>
      <c r="Z156" s="916"/>
      <c r="AA156" s="916"/>
      <c r="AB156" s="916"/>
      <c r="AC156" s="916"/>
      <c r="AD156" s="916"/>
      <c r="AE156" s="916"/>
      <c r="AF156" s="916"/>
      <c r="AG156" s="916"/>
      <c r="AH156" s="916"/>
      <c r="AI156" s="916"/>
      <c r="AJ156" s="1144"/>
      <c r="AK156" s="1144"/>
      <c r="AL156" s="1144"/>
      <c r="AM156" s="1144"/>
      <c r="AN156" s="1144"/>
      <c r="AO156" s="1144"/>
      <c r="AP156" s="1144"/>
      <c r="AQ156" s="1144"/>
      <c r="AR156" s="1144"/>
      <c r="AS156" s="916"/>
      <c r="AT156" s="1144"/>
      <c r="AU156" s="1144"/>
      <c r="AV156" s="1144"/>
      <c r="AW156" s="1144"/>
      <c r="AX156" s="1144"/>
      <c r="AY156" s="1144"/>
      <c r="AZ156" s="1144"/>
      <c r="BA156" s="1144"/>
      <c r="BB156" s="1144"/>
      <c r="BC156" s="1144"/>
      <c r="BD156" s="1144"/>
      <c r="BE156" s="1144"/>
      <c r="BF156" s="1144"/>
      <c r="BG156" s="1144"/>
      <c r="BH156" s="1144"/>
      <c r="BI156" s="1144"/>
      <c r="BJ156" s="1144"/>
      <c r="BK156" s="1144"/>
      <c r="BL156" s="1144"/>
      <c r="BM156" s="1148"/>
      <c r="BN156" s="1148"/>
      <c r="BO156" s="1148"/>
      <c r="BP156" s="1148"/>
      <c r="BQ156" s="1148"/>
      <c r="BR156" s="1148"/>
      <c r="BS156" s="1148"/>
      <c r="BT156" s="1148"/>
    </row>
    <row r="157" spans="1:72" ht="17.45" customHeight="1">
      <c r="A157" s="916"/>
      <c r="B157" s="916"/>
      <c r="C157" s="916"/>
      <c r="D157" s="916"/>
      <c r="E157" s="916"/>
      <c r="F157" s="916"/>
      <c r="G157" s="916"/>
      <c r="H157" s="916"/>
      <c r="I157" s="916"/>
      <c r="J157" s="916"/>
      <c r="K157" s="916"/>
      <c r="L157" s="916"/>
      <c r="M157" s="916"/>
      <c r="N157" s="916"/>
      <c r="O157" s="916"/>
      <c r="P157" s="916"/>
      <c r="Q157" s="916"/>
      <c r="R157" s="916"/>
      <c r="S157" s="916"/>
      <c r="T157" s="916"/>
      <c r="U157" s="916"/>
      <c r="V157" s="916"/>
      <c r="W157" s="916"/>
      <c r="X157" s="916"/>
      <c r="Y157" s="916"/>
      <c r="Z157" s="916"/>
      <c r="AA157" s="916"/>
      <c r="AB157" s="916"/>
      <c r="AC157" s="916"/>
      <c r="AD157" s="916"/>
      <c r="AE157" s="916"/>
      <c r="AF157" s="916"/>
      <c r="AG157" s="916"/>
      <c r="AH157" s="916"/>
      <c r="AI157" s="916"/>
      <c r="AJ157" s="1144"/>
      <c r="AK157" s="1144"/>
      <c r="AL157" s="1144"/>
      <c r="AM157" s="1144"/>
      <c r="AN157" s="1144"/>
      <c r="AO157" s="1144"/>
      <c r="AP157" s="1144"/>
      <c r="AQ157" s="1144"/>
      <c r="AR157" s="1144"/>
      <c r="AS157" s="916"/>
      <c r="AT157" s="1144"/>
      <c r="AU157" s="1144"/>
      <c r="AV157" s="1144"/>
      <c r="AW157" s="1144"/>
      <c r="AX157" s="1144"/>
      <c r="AY157" s="1144"/>
      <c r="AZ157" s="1144"/>
      <c r="BA157" s="1144"/>
      <c r="BB157" s="1144"/>
      <c r="BC157" s="1144"/>
      <c r="BD157" s="1144"/>
      <c r="BE157" s="1144"/>
      <c r="BF157" s="1144"/>
      <c r="BG157" s="1144"/>
      <c r="BH157" s="1144"/>
      <c r="BI157" s="1144"/>
      <c r="BJ157" s="1144"/>
      <c r="BK157" s="1144"/>
      <c r="BL157" s="1144"/>
      <c r="BM157" s="1148"/>
      <c r="BN157" s="1148"/>
      <c r="BO157" s="1148"/>
      <c r="BP157" s="1148"/>
      <c r="BQ157" s="1148"/>
      <c r="BR157" s="1148"/>
      <c r="BS157" s="1148"/>
      <c r="BT157" s="1148"/>
    </row>
    <row r="158" spans="1:72" ht="17.45" customHeight="1">
      <c r="A158" s="916"/>
      <c r="B158" s="916"/>
      <c r="C158" s="916"/>
      <c r="D158" s="916"/>
      <c r="E158" s="916"/>
      <c r="F158" s="916"/>
      <c r="G158" s="916"/>
      <c r="H158" s="916"/>
      <c r="I158" s="916"/>
      <c r="J158" s="916"/>
      <c r="K158" s="916"/>
      <c r="L158" s="916"/>
      <c r="M158" s="916"/>
      <c r="N158" s="916"/>
      <c r="O158" s="916"/>
      <c r="P158" s="916"/>
      <c r="Q158" s="916"/>
      <c r="R158" s="916"/>
      <c r="S158" s="916"/>
      <c r="T158" s="916"/>
      <c r="U158" s="916"/>
      <c r="V158" s="916"/>
      <c r="W158" s="916"/>
      <c r="X158" s="916"/>
      <c r="Y158" s="916"/>
      <c r="Z158" s="916"/>
      <c r="AA158" s="916"/>
      <c r="AB158" s="916"/>
      <c r="AC158" s="916"/>
      <c r="AD158" s="916"/>
      <c r="AE158" s="916"/>
      <c r="AF158" s="916"/>
      <c r="AG158" s="916"/>
      <c r="AH158" s="916"/>
      <c r="AI158" s="916"/>
      <c r="AJ158" s="1144"/>
      <c r="AK158" s="1144"/>
      <c r="AL158" s="1144"/>
      <c r="AM158" s="1144"/>
      <c r="AN158" s="1144"/>
      <c r="AO158" s="1144"/>
      <c r="AP158" s="1144"/>
      <c r="AQ158" s="1144"/>
      <c r="AR158" s="1144"/>
      <c r="AS158" s="916"/>
      <c r="AT158" s="1144"/>
      <c r="AU158" s="1144"/>
      <c r="AV158" s="1144"/>
      <c r="AW158" s="1144"/>
      <c r="AX158" s="1144"/>
      <c r="AY158" s="1144"/>
      <c r="AZ158" s="1144"/>
      <c r="BA158" s="1144"/>
      <c r="BB158" s="1144"/>
      <c r="BC158" s="1144"/>
      <c r="BD158" s="1144"/>
      <c r="BE158" s="1144"/>
      <c r="BF158" s="1144"/>
      <c r="BG158" s="1144"/>
      <c r="BH158" s="1144"/>
      <c r="BI158" s="1144"/>
      <c r="BJ158" s="1144"/>
      <c r="BK158" s="1144"/>
      <c r="BL158" s="1144"/>
      <c r="BM158" s="1148"/>
      <c r="BN158" s="1148"/>
      <c r="BO158" s="1148"/>
      <c r="BP158" s="1148"/>
      <c r="BQ158" s="1148"/>
      <c r="BR158" s="1148"/>
      <c r="BS158" s="1148"/>
      <c r="BT158" s="1148"/>
    </row>
    <row r="159" spans="1:72" ht="17.45" customHeight="1">
      <c r="A159" s="916"/>
      <c r="B159" s="916"/>
      <c r="C159" s="916"/>
      <c r="D159" s="916"/>
      <c r="E159" s="916"/>
      <c r="F159" s="916"/>
      <c r="G159" s="916"/>
      <c r="H159" s="916"/>
      <c r="I159" s="916"/>
      <c r="J159" s="916"/>
      <c r="K159" s="916"/>
      <c r="L159" s="916"/>
      <c r="M159" s="916"/>
      <c r="N159" s="916"/>
      <c r="O159" s="916"/>
      <c r="P159" s="916"/>
      <c r="Q159" s="916"/>
      <c r="R159" s="916"/>
      <c r="S159" s="916"/>
      <c r="T159" s="916"/>
      <c r="U159" s="916"/>
      <c r="V159" s="916"/>
      <c r="W159" s="916"/>
      <c r="X159" s="916"/>
      <c r="Y159" s="916"/>
      <c r="Z159" s="916"/>
      <c r="AA159" s="916"/>
      <c r="AB159" s="916"/>
      <c r="AC159" s="916"/>
      <c r="AD159" s="916"/>
      <c r="AE159" s="916"/>
      <c r="AF159" s="916"/>
      <c r="AG159" s="916"/>
      <c r="AH159" s="916"/>
      <c r="AI159" s="916"/>
      <c r="AJ159" s="1144"/>
      <c r="AK159" s="1144"/>
      <c r="AL159" s="1144"/>
      <c r="AM159" s="1144"/>
      <c r="AN159" s="1144"/>
      <c r="AO159" s="1144"/>
      <c r="AP159" s="1144"/>
      <c r="AQ159" s="1144"/>
      <c r="AR159" s="1144"/>
      <c r="AS159" s="916"/>
      <c r="AT159" s="1144"/>
      <c r="AU159" s="1144"/>
      <c r="AV159" s="1144"/>
      <c r="AW159" s="1144"/>
      <c r="AX159" s="1144"/>
      <c r="AY159" s="1144"/>
      <c r="AZ159" s="1144"/>
      <c r="BA159" s="1144"/>
      <c r="BB159" s="1144"/>
      <c r="BC159" s="1144"/>
      <c r="BD159" s="1144"/>
      <c r="BE159" s="1144"/>
      <c r="BF159" s="1144"/>
      <c r="BG159" s="1144"/>
      <c r="BH159" s="1144"/>
      <c r="BI159" s="1144"/>
      <c r="BJ159" s="1144"/>
      <c r="BK159" s="1144"/>
      <c r="BL159" s="1144"/>
      <c r="BM159" s="1148"/>
      <c r="BN159" s="1148"/>
      <c r="BO159" s="1148"/>
      <c r="BP159" s="1148"/>
      <c r="BQ159" s="1148"/>
      <c r="BR159" s="1148"/>
      <c r="BS159" s="1148"/>
      <c r="BT159" s="1148"/>
    </row>
    <row r="160" spans="1:72" ht="17.45" customHeight="1">
      <c r="A160" s="916"/>
      <c r="B160" s="916"/>
      <c r="C160" s="916"/>
      <c r="D160" s="916"/>
      <c r="E160" s="916"/>
      <c r="F160" s="916"/>
      <c r="G160" s="916"/>
      <c r="H160" s="916"/>
      <c r="I160" s="916"/>
      <c r="J160" s="916"/>
      <c r="K160" s="916"/>
      <c r="L160" s="916"/>
      <c r="M160" s="916"/>
      <c r="N160" s="916"/>
      <c r="O160" s="916"/>
      <c r="P160" s="916"/>
      <c r="Q160" s="916"/>
      <c r="R160" s="916"/>
      <c r="S160" s="916"/>
      <c r="T160" s="916"/>
      <c r="U160" s="916"/>
      <c r="V160" s="916"/>
      <c r="W160" s="916"/>
      <c r="X160" s="916"/>
      <c r="Y160" s="916"/>
      <c r="Z160" s="916"/>
      <c r="AA160" s="916"/>
      <c r="AB160" s="916"/>
      <c r="AC160" s="916"/>
      <c r="AD160" s="916"/>
      <c r="AE160" s="916"/>
      <c r="AF160" s="916"/>
      <c r="AG160" s="916"/>
      <c r="AH160" s="916"/>
      <c r="AI160" s="916"/>
      <c r="AJ160" s="1144"/>
      <c r="AK160" s="1144"/>
      <c r="AL160" s="1144"/>
      <c r="AM160" s="1144"/>
      <c r="AN160" s="1144"/>
      <c r="AO160" s="1144"/>
      <c r="AP160" s="1144"/>
      <c r="AQ160" s="1144"/>
      <c r="AR160" s="1144"/>
      <c r="AS160" s="916"/>
      <c r="AT160" s="1144"/>
      <c r="AU160" s="1144"/>
      <c r="AV160" s="1144"/>
      <c r="AW160" s="1144"/>
      <c r="AX160" s="1144"/>
      <c r="AY160" s="1144"/>
      <c r="AZ160" s="1144"/>
      <c r="BA160" s="1144"/>
      <c r="BB160" s="1144"/>
      <c r="BC160" s="1144"/>
      <c r="BD160" s="1144"/>
      <c r="BE160" s="1144"/>
      <c r="BF160" s="1144"/>
      <c r="BG160" s="1144"/>
      <c r="BH160" s="1144"/>
      <c r="BI160" s="1144"/>
      <c r="BJ160" s="1144"/>
      <c r="BK160" s="1144"/>
      <c r="BL160" s="1144"/>
      <c r="BM160" s="1148"/>
      <c r="BN160" s="1148"/>
      <c r="BO160" s="1148"/>
      <c r="BP160" s="1148"/>
      <c r="BQ160" s="1148"/>
      <c r="BR160" s="1148"/>
      <c r="BS160" s="1148"/>
      <c r="BT160" s="1148"/>
    </row>
    <row r="161" spans="1:22" ht="18">
      <c r="A161" s="916"/>
      <c r="B161" s="916"/>
      <c r="C161" s="916"/>
      <c r="D161" s="916"/>
      <c r="E161" s="916"/>
      <c r="F161" s="916"/>
      <c r="G161" s="916"/>
      <c r="H161" s="916"/>
      <c r="I161" s="916"/>
      <c r="J161" s="916"/>
      <c r="K161" s="916"/>
      <c r="L161" s="916"/>
      <c r="M161" s="916"/>
      <c r="N161" s="916"/>
      <c r="O161" s="916"/>
      <c r="P161" s="916"/>
      <c r="Q161" s="916"/>
      <c r="R161" s="916"/>
      <c r="S161" s="916"/>
      <c r="T161" s="916"/>
      <c r="U161" s="916"/>
      <c r="V161" s="916"/>
    </row>
    <row r="162" spans="1:22" ht="18">
      <c r="A162" s="916"/>
      <c r="B162" s="916"/>
      <c r="C162" s="916"/>
      <c r="D162" s="916"/>
      <c r="E162" s="916"/>
      <c r="F162" s="916"/>
      <c r="G162" s="916"/>
      <c r="H162" s="916"/>
      <c r="I162" s="916"/>
      <c r="J162" s="916"/>
      <c r="K162" s="916"/>
      <c r="L162" s="916"/>
      <c r="M162" s="916"/>
      <c r="N162" s="916"/>
      <c r="O162" s="916"/>
      <c r="P162" s="916"/>
      <c r="Q162" s="916"/>
      <c r="R162" s="916"/>
      <c r="S162" s="916"/>
      <c r="T162" s="916"/>
      <c r="U162" s="916"/>
      <c r="V162" s="916"/>
    </row>
    <row r="163" spans="1:22" ht="18">
      <c r="A163" s="916"/>
      <c r="B163" s="916"/>
      <c r="C163" s="916"/>
      <c r="D163" s="916"/>
      <c r="E163" s="916"/>
      <c r="F163" s="916"/>
      <c r="G163" s="916"/>
      <c r="H163" s="916"/>
    </row>
  </sheetData>
  <sheetProtection sheet="1" objects="1" scenarios="1"/>
  <mergeCells count="8">
    <mergeCell ref="BM1:BT1"/>
    <mergeCell ref="H2:H3"/>
    <mergeCell ref="AZ3:AZ5"/>
    <mergeCell ref="BJ16:BL17"/>
    <mergeCell ref="J1:U1"/>
    <mergeCell ref="X1:AH1"/>
    <mergeCell ref="AJ1:AS1"/>
    <mergeCell ref="AT1:BL1"/>
  </mergeCells>
  <hyperlinks>
    <hyperlink ref="BN10" r:id="rId1"/>
    <hyperlink ref="BN6" r:id="rId2"/>
    <hyperlink ref="BN7" r:id="rId3"/>
    <hyperlink ref="BN9" r:id="rId4"/>
    <hyperlink ref="BN8" r:id="rId5"/>
    <hyperlink ref="BD14" r:id="rId6"/>
    <hyperlink ref="H2:H3" location="Kalkulation!A12:A100" display="Zurück"/>
    <hyperlink ref="Z5" r:id="rId7"/>
    <hyperlink ref="Y4" r:id="rId8"/>
    <hyperlink ref="K4" r:id="rId9"/>
    <hyperlink ref="M5" r:id="rId10"/>
  </hyperlinks>
  <pageMargins left="0.59055118110236227" right="0.59055118110236227" top="0.78740157480314965" bottom="0.78740157480314965" header="0.31496062992125984" footer="0.31496062992125984"/>
  <pageSetup paperSize="9" scale="81" fitToWidth="2" fitToHeight="2" orientation="portrait" r:id="rId11"/>
  <headerFooter>
    <oddFooter>&amp;L&amp;8LEL Schwäbisch Gmünd; Abt. IV; LLM (WS)&amp;C&amp;8&amp;F&amp;R&amp;8Stand: August 2014</oddFooter>
  </headerFooter>
  <rowBreaks count="1" manualBreakCount="1">
    <brk id="60" min="45" max="63" man="1"/>
  </rowBreaks>
  <drawing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67"/>
  <sheetViews>
    <sheetView zoomScale="80" zoomScaleNormal="80" workbookViewId="0">
      <pane xSplit="5" ySplit="14" topLeftCell="G15" activePane="bottomRight" state="frozen"/>
      <selection pane="topRight" activeCell="F1" sqref="F1"/>
      <selection pane="bottomLeft" activeCell="A28" sqref="A28"/>
      <selection pane="bottomRight" activeCell="G15" sqref="G15"/>
    </sheetView>
  </sheetViews>
  <sheetFormatPr baseColWidth="10" defaultColWidth="11.42578125" defaultRowHeight="12"/>
  <cols>
    <col min="1" max="1" width="1.7109375" style="9" customWidth="1"/>
    <col min="2" max="3" width="4.28515625" style="9" customWidth="1"/>
    <col min="4" max="4" width="1.7109375" style="9" customWidth="1"/>
    <col min="5" max="5" width="2.7109375" style="763" customWidth="1"/>
    <col min="6" max="6" width="10.7109375" style="439" hidden="1" customWidth="1"/>
    <col min="7" max="7" width="2.7109375" style="9" customWidth="1"/>
    <col min="8" max="8" width="1.7109375" style="9" customWidth="1"/>
    <col min="9" max="9" width="3.7109375" style="9" customWidth="1"/>
    <col min="10" max="11" width="5.7109375" style="9" customWidth="1"/>
    <col min="12" max="12" width="3.7109375" style="9" customWidth="1"/>
    <col min="13" max="14" width="5.7109375" style="9" customWidth="1"/>
    <col min="15" max="15" width="4.7109375" style="9" customWidth="1"/>
    <col min="16" max="16" width="3.7109375" style="9" customWidth="1"/>
    <col min="17" max="17" width="5.7109375" style="9" customWidth="1"/>
    <col min="18" max="19" width="3.7109375" style="9" customWidth="1"/>
    <col min="20" max="21" width="5.7109375" style="9" customWidth="1"/>
    <col min="22" max="25" width="1.7109375" style="9" customWidth="1"/>
    <col min="26" max="38" width="5.7109375" style="9" customWidth="1"/>
    <col min="39" max="39" width="1.7109375" style="9" customWidth="1"/>
    <col min="40" max="40" width="4.7109375" style="9" customWidth="1"/>
    <col min="41" max="41" width="20.7109375" style="9" customWidth="1"/>
    <col min="42" max="56" width="4.7109375" style="9" customWidth="1"/>
    <col min="57" max="16384" width="11.42578125" style="9"/>
  </cols>
  <sheetData>
    <row r="1" spans="1:56" s="6" customFormat="1" ht="2.4500000000000002" customHeight="1">
      <c r="A1" s="475"/>
      <c r="B1" s="475"/>
      <c r="C1" s="475"/>
      <c r="D1" s="475"/>
      <c r="E1" s="761"/>
      <c r="F1" s="533"/>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row>
    <row r="2" spans="1:56" s="6" customFormat="1" ht="10.15" customHeight="1">
      <c r="A2" s="475"/>
      <c r="B2" s="1419" t="s">
        <v>333</v>
      </c>
      <c r="C2" s="1419"/>
      <c r="D2" s="475"/>
      <c r="E2" s="761"/>
      <c r="F2" s="533"/>
      <c r="G2" s="524"/>
      <c r="H2" s="524"/>
      <c r="I2" s="524"/>
      <c r="J2" s="524"/>
      <c r="K2" s="524"/>
      <c r="L2" s="524"/>
      <c r="M2" s="524"/>
      <c r="N2" s="524"/>
      <c r="O2" s="524"/>
      <c r="P2" s="524"/>
      <c r="Q2" s="524"/>
      <c r="R2" s="524"/>
      <c r="S2" s="524"/>
      <c r="T2" s="524"/>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c r="AT2" s="524"/>
      <c r="AU2" s="524"/>
      <c r="AV2" s="524"/>
      <c r="AW2" s="524"/>
      <c r="AX2" s="524"/>
      <c r="AY2" s="524"/>
      <c r="AZ2" s="524"/>
      <c r="BA2" s="524"/>
      <c r="BB2" s="524"/>
      <c r="BC2" s="524"/>
      <c r="BD2" s="524"/>
    </row>
    <row r="3" spans="1:56" s="6" customFormat="1" ht="2.4500000000000002" customHeight="1">
      <c r="A3" s="475"/>
      <c r="B3" s="1419"/>
      <c r="C3" s="1419"/>
      <c r="D3" s="475"/>
      <c r="E3" s="761"/>
      <c r="F3" s="533"/>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row>
    <row r="4" spans="1:56" s="6" customFormat="1" ht="2.4500000000000002" customHeight="1">
      <c r="A4" s="475"/>
      <c r="B4" s="1419"/>
      <c r="C4" s="1419"/>
      <c r="D4" s="475"/>
      <c r="E4" s="761"/>
      <c r="F4" s="533"/>
      <c r="G4" s="524"/>
      <c r="H4" s="524"/>
      <c r="I4" s="524"/>
      <c r="J4" s="524"/>
      <c r="K4" s="524"/>
      <c r="L4" s="524"/>
      <c r="M4" s="524"/>
      <c r="N4" s="524"/>
      <c r="O4" s="524"/>
      <c r="P4" s="524"/>
      <c r="Q4" s="524"/>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c r="AP4" s="524"/>
      <c r="AQ4" s="524"/>
      <c r="AR4" s="524"/>
      <c r="AS4" s="524"/>
      <c r="AT4" s="524"/>
      <c r="AU4" s="524"/>
      <c r="AV4" s="524"/>
      <c r="AW4" s="524"/>
      <c r="AX4" s="524"/>
      <c r="AY4" s="524"/>
      <c r="AZ4" s="524"/>
      <c r="BA4" s="524"/>
      <c r="BB4" s="524"/>
      <c r="BC4" s="524"/>
      <c r="BD4" s="524"/>
    </row>
    <row r="5" spans="1:56" s="6" customFormat="1" ht="11.85" customHeight="1">
      <c r="A5" s="475"/>
      <c r="B5" s="1419"/>
      <c r="C5" s="1419"/>
      <c r="D5" s="475"/>
      <c r="E5" s="761"/>
      <c r="F5" s="533"/>
      <c r="G5" s="524"/>
      <c r="H5" s="1621">
        <f>Kalkulation_Eigenstrom!G5</f>
        <v>0</v>
      </c>
      <c r="I5" s="1621"/>
      <c r="J5" s="1621"/>
      <c r="K5" s="1621"/>
      <c r="L5" s="1621"/>
      <c r="M5" s="1621"/>
      <c r="N5" s="1621"/>
      <c r="O5" s="1621"/>
      <c r="P5" s="1621"/>
      <c r="Q5" s="1621"/>
      <c r="R5" s="1621"/>
      <c r="S5" s="1621"/>
      <c r="T5" s="1621"/>
      <c r="U5" s="1621"/>
      <c r="V5" s="1621"/>
      <c r="W5" s="1621"/>
      <c r="X5" s="1621"/>
      <c r="Y5" s="1621"/>
      <c r="Z5" s="1621"/>
      <c r="AA5" s="1621"/>
      <c r="AB5" s="1621"/>
      <c r="AC5" s="1621"/>
      <c r="AD5" s="1621"/>
      <c r="AE5" s="1621"/>
      <c r="AF5" s="700"/>
      <c r="AG5" s="700"/>
      <c r="AH5" s="1626" t="str">
        <f>Kalkulation_Eigenstrom!CY4</f>
        <v>01. Mai 2022; Vers. 4.3.3
© Werner Schmid</v>
      </c>
      <c r="AI5" s="1626"/>
      <c r="AJ5" s="1626"/>
      <c r="AK5" s="1626"/>
      <c r="AL5" s="1626"/>
      <c r="AM5" s="1626"/>
      <c r="AN5" s="524"/>
      <c r="AO5" s="524"/>
      <c r="AP5" s="524"/>
      <c r="AQ5" s="524"/>
      <c r="AR5" s="524"/>
      <c r="AS5" s="524"/>
      <c r="AT5" s="524"/>
      <c r="AU5" s="524"/>
      <c r="AV5" s="524"/>
      <c r="AW5" s="524"/>
      <c r="AX5" s="524"/>
      <c r="AY5" s="524"/>
      <c r="AZ5" s="524"/>
      <c r="BA5" s="524"/>
      <c r="BB5" s="524"/>
      <c r="BC5" s="524"/>
      <c r="BD5" s="524"/>
    </row>
    <row r="6" spans="1:56" s="6" customFormat="1" ht="2.4500000000000002" customHeight="1">
      <c r="A6" s="475"/>
      <c r="B6" s="1419"/>
      <c r="C6" s="1419"/>
      <c r="D6" s="475"/>
      <c r="E6" s="761"/>
      <c r="F6" s="533"/>
      <c r="G6" s="524"/>
      <c r="H6" s="1621"/>
      <c r="I6" s="1621"/>
      <c r="J6" s="1621"/>
      <c r="K6" s="1621"/>
      <c r="L6" s="1621"/>
      <c r="M6" s="1621"/>
      <c r="N6" s="1621"/>
      <c r="O6" s="1621"/>
      <c r="P6" s="1621"/>
      <c r="Q6" s="1621"/>
      <c r="R6" s="1621"/>
      <c r="S6" s="1621"/>
      <c r="T6" s="1621"/>
      <c r="U6" s="1621"/>
      <c r="V6" s="1621"/>
      <c r="W6" s="1621"/>
      <c r="X6" s="1621"/>
      <c r="Y6" s="1621"/>
      <c r="Z6" s="1621"/>
      <c r="AA6" s="1621"/>
      <c r="AB6" s="1621"/>
      <c r="AC6" s="1621"/>
      <c r="AD6" s="1621"/>
      <c r="AE6" s="1621"/>
      <c r="AF6" s="700"/>
      <c r="AG6" s="700"/>
      <c r="AH6" s="1626"/>
      <c r="AI6" s="1626"/>
      <c r="AJ6" s="1626"/>
      <c r="AK6" s="1626"/>
      <c r="AL6" s="1626"/>
      <c r="AM6" s="1626"/>
      <c r="AN6" s="524"/>
      <c r="AO6" s="524"/>
      <c r="AP6" s="524"/>
      <c r="AQ6" s="524"/>
      <c r="AR6" s="524"/>
      <c r="AS6" s="524"/>
      <c r="AT6" s="524"/>
      <c r="AU6" s="524"/>
      <c r="AV6" s="524"/>
      <c r="AW6" s="524"/>
      <c r="AX6" s="524"/>
      <c r="AY6" s="524"/>
      <c r="AZ6" s="524"/>
      <c r="BA6" s="524"/>
      <c r="BB6" s="524"/>
      <c r="BC6" s="524"/>
      <c r="BD6" s="524"/>
    </row>
    <row r="7" spans="1:56" s="6" customFormat="1" ht="11.85" customHeight="1">
      <c r="A7" s="475"/>
      <c r="B7" s="1419"/>
      <c r="C7" s="1419"/>
      <c r="D7" s="475"/>
      <c r="E7" s="761"/>
      <c r="F7" s="533"/>
      <c r="G7" s="524"/>
      <c r="H7" s="1622"/>
      <c r="I7" s="1622"/>
      <c r="J7" s="1622"/>
      <c r="K7" s="1622"/>
      <c r="L7" s="1622"/>
      <c r="M7" s="1622"/>
      <c r="N7" s="1622"/>
      <c r="O7" s="1622"/>
      <c r="P7" s="1622"/>
      <c r="Q7" s="1622"/>
      <c r="R7" s="1622"/>
      <c r="S7" s="1622"/>
      <c r="T7" s="1622"/>
      <c r="U7" s="1622"/>
      <c r="V7" s="1622"/>
      <c r="W7" s="1622"/>
      <c r="X7" s="1622"/>
      <c r="Y7" s="1622"/>
      <c r="Z7" s="1622"/>
      <c r="AA7" s="1622"/>
      <c r="AB7" s="1622"/>
      <c r="AC7" s="1622"/>
      <c r="AD7" s="1622"/>
      <c r="AE7" s="1622"/>
      <c r="AF7" s="701"/>
      <c r="AG7" s="701"/>
      <c r="AH7" s="1627"/>
      <c r="AI7" s="1627"/>
      <c r="AJ7" s="1627"/>
      <c r="AK7" s="1627"/>
      <c r="AL7" s="1627"/>
      <c r="AM7" s="1627"/>
      <c r="AN7" s="524"/>
      <c r="AO7" s="524"/>
      <c r="AP7" s="524"/>
      <c r="AQ7" s="524"/>
      <c r="AR7" s="524"/>
      <c r="AS7" s="524"/>
      <c r="AT7" s="524"/>
      <c r="AU7" s="524"/>
      <c r="AV7" s="524"/>
      <c r="AW7" s="524"/>
      <c r="AX7" s="524"/>
      <c r="AY7" s="524"/>
      <c r="AZ7" s="524"/>
      <c r="BA7" s="524"/>
      <c r="BB7" s="524"/>
      <c r="BC7" s="524"/>
      <c r="BD7" s="524"/>
    </row>
    <row r="8" spans="1:56" s="6" customFormat="1" ht="2.4500000000000002" customHeight="1">
      <c r="A8" s="475"/>
      <c r="B8" s="479"/>
      <c r="C8" s="479"/>
      <c r="D8" s="475"/>
      <c r="E8" s="761"/>
      <c r="F8" s="533"/>
      <c r="G8" s="524"/>
      <c r="H8" s="798"/>
      <c r="I8" s="798"/>
      <c r="J8" s="798"/>
      <c r="K8" s="798"/>
      <c r="L8" s="798"/>
      <c r="M8" s="798"/>
      <c r="N8" s="798"/>
      <c r="O8" s="798"/>
      <c r="P8" s="798"/>
      <c r="Q8" s="798"/>
      <c r="R8" s="798"/>
      <c r="S8" s="798"/>
      <c r="T8" s="798"/>
      <c r="U8" s="798"/>
      <c r="V8" s="798"/>
      <c r="W8" s="798"/>
      <c r="X8" s="798"/>
      <c r="Y8" s="798"/>
      <c r="Z8" s="798"/>
      <c r="AA8" s="798"/>
      <c r="AB8" s="798"/>
      <c r="AC8" s="798"/>
      <c r="AD8" s="798"/>
      <c r="AE8" s="798"/>
      <c r="AF8" s="798"/>
      <c r="AG8" s="798"/>
      <c r="AH8" s="798"/>
      <c r="AI8" s="798"/>
      <c r="AJ8" s="798"/>
      <c r="AK8" s="798"/>
      <c r="AL8" s="798"/>
      <c r="AM8" s="798"/>
      <c r="AN8" s="524"/>
      <c r="AO8" s="524"/>
      <c r="AP8" s="524"/>
      <c r="AQ8" s="524"/>
      <c r="AR8" s="524"/>
      <c r="AS8" s="524"/>
      <c r="AT8" s="524"/>
      <c r="AU8" s="524"/>
      <c r="AV8" s="524"/>
      <c r="AW8" s="524"/>
      <c r="AX8" s="524"/>
      <c r="AY8" s="524"/>
      <c r="AZ8" s="524"/>
      <c r="BA8" s="524"/>
      <c r="BB8" s="524"/>
      <c r="BC8" s="524"/>
      <c r="BD8" s="524"/>
    </row>
    <row r="9" spans="1:56" s="6" customFormat="1" ht="24.95" customHeight="1">
      <c r="A9" s="1376" t="s">
        <v>361</v>
      </c>
      <c r="B9" s="1376"/>
      <c r="C9" s="1376"/>
      <c r="D9" s="1376"/>
      <c r="E9" s="761"/>
      <c r="F9" s="533"/>
      <c r="G9" s="524"/>
      <c r="H9" s="798"/>
      <c r="I9" s="797"/>
      <c r="J9" s="797"/>
      <c r="K9" s="797"/>
      <c r="L9" s="797"/>
      <c r="M9" s="797"/>
      <c r="N9" s="797"/>
      <c r="O9" s="797"/>
      <c r="P9" s="797"/>
      <c r="Q9" s="797"/>
      <c r="R9" s="797"/>
      <c r="S9" s="797"/>
      <c r="T9" s="797"/>
      <c r="U9" s="797"/>
      <c r="V9" s="797"/>
      <c r="W9" s="797"/>
      <c r="X9" s="797"/>
      <c r="Y9" s="797"/>
      <c r="Z9" s="797"/>
      <c r="AA9" s="797"/>
      <c r="AB9" s="797"/>
      <c r="AC9" s="797"/>
      <c r="AD9" s="797"/>
      <c r="AE9" s="797"/>
      <c r="AF9" s="797"/>
      <c r="AG9" s="797"/>
      <c r="AH9" s="797"/>
      <c r="AI9" s="797"/>
      <c r="AJ9" s="797"/>
      <c r="AK9" s="797"/>
      <c r="AL9" s="797"/>
      <c r="AM9" s="798"/>
      <c r="AN9" s="524"/>
      <c r="AO9" s="524"/>
      <c r="AP9" s="524"/>
      <c r="AQ9" s="524"/>
      <c r="AR9" s="524"/>
      <c r="AS9" s="524"/>
      <c r="AT9" s="524"/>
      <c r="AU9" s="524"/>
      <c r="AV9" s="524"/>
      <c r="AW9" s="524"/>
      <c r="AX9" s="524"/>
      <c r="AY9" s="524"/>
      <c r="AZ9" s="524"/>
      <c r="BA9" s="524"/>
      <c r="BB9" s="524"/>
      <c r="BC9" s="524"/>
      <c r="BD9" s="524"/>
    </row>
    <row r="10" spans="1:56" s="6" customFormat="1" ht="24.95" customHeight="1">
      <c r="A10" s="576"/>
      <c r="B10" s="576"/>
      <c r="C10" s="576"/>
      <c r="D10" s="576"/>
      <c r="E10" s="761"/>
      <c r="F10" s="533"/>
      <c r="G10" s="524"/>
      <c r="H10" s="798"/>
      <c r="I10" s="797"/>
      <c r="J10" s="797"/>
      <c r="K10" s="797"/>
      <c r="L10" s="797"/>
      <c r="M10" s="797"/>
      <c r="N10" s="797"/>
      <c r="O10" s="797"/>
      <c r="P10" s="797"/>
      <c r="Q10" s="797"/>
      <c r="R10" s="797"/>
      <c r="S10" s="797"/>
      <c r="T10" s="797"/>
      <c r="U10" s="797"/>
      <c r="V10" s="797"/>
      <c r="W10" s="797"/>
      <c r="X10" s="797"/>
      <c r="Y10" s="797"/>
      <c r="Z10" s="797"/>
      <c r="AA10" s="797"/>
      <c r="AB10" s="797"/>
      <c r="AC10" s="797"/>
      <c r="AD10" s="797"/>
      <c r="AE10" s="797"/>
      <c r="AF10" s="797"/>
      <c r="AG10" s="797"/>
      <c r="AH10" s="797"/>
      <c r="AI10" s="797"/>
      <c r="AJ10" s="797"/>
      <c r="AK10" s="797"/>
      <c r="AL10" s="797"/>
      <c r="AM10" s="798"/>
      <c r="AN10" s="524"/>
      <c r="AO10" s="524"/>
      <c r="AP10" s="524"/>
      <c r="AQ10" s="524"/>
      <c r="AR10" s="524"/>
      <c r="AS10" s="524"/>
      <c r="AT10" s="524"/>
      <c r="AU10" s="524"/>
      <c r="AV10" s="524"/>
      <c r="AW10" s="524"/>
      <c r="AX10" s="524"/>
      <c r="AY10" s="524"/>
      <c r="AZ10" s="524"/>
      <c r="BA10" s="524"/>
      <c r="BB10" s="524"/>
      <c r="BC10" s="524"/>
      <c r="BD10" s="524"/>
    </row>
    <row r="11" spans="1:56" s="6" customFormat="1" ht="24.95" customHeight="1">
      <c r="A11" s="475"/>
      <c r="B11" s="477"/>
      <c r="C11" s="476"/>
      <c r="D11" s="475"/>
      <c r="E11" s="761"/>
      <c r="F11" s="533"/>
      <c r="G11" s="524"/>
      <c r="H11" s="798"/>
      <c r="I11" s="797"/>
      <c r="J11" s="797"/>
      <c r="K11" s="797"/>
      <c r="L11" s="797"/>
      <c r="M11" s="797"/>
      <c r="N11" s="797"/>
      <c r="O11" s="797"/>
      <c r="P11" s="797"/>
      <c r="Q11" s="797"/>
      <c r="R11" s="797"/>
      <c r="S11" s="797"/>
      <c r="T11" s="797"/>
      <c r="U11" s="797"/>
      <c r="V11" s="797"/>
      <c r="W11" s="797"/>
      <c r="X11" s="797"/>
      <c r="Y11" s="797"/>
      <c r="Z11" s="797"/>
      <c r="AA11" s="797"/>
      <c r="AB11" s="797"/>
      <c r="AC11" s="797"/>
      <c r="AD11" s="797"/>
      <c r="AE11" s="797"/>
      <c r="AF11" s="797"/>
      <c r="AG11" s="797"/>
      <c r="AH11" s="797"/>
      <c r="AI11" s="797"/>
      <c r="AJ11" s="797"/>
      <c r="AK11" s="797"/>
      <c r="AL11" s="797"/>
      <c r="AM11" s="798"/>
      <c r="AN11" s="524"/>
      <c r="AO11" s="524"/>
      <c r="AP11" s="524"/>
      <c r="AQ11" s="524"/>
      <c r="AR11" s="524"/>
      <c r="AS11" s="524"/>
      <c r="AT11" s="524"/>
      <c r="AU11" s="524"/>
      <c r="AV11" s="524"/>
      <c r="AW11" s="524"/>
      <c r="AX11" s="524"/>
      <c r="AY11" s="524"/>
      <c r="AZ11" s="524"/>
      <c r="BA11" s="524"/>
      <c r="BB11" s="524"/>
      <c r="BC11" s="524"/>
      <c r="BD11" s="524"/>
    </row>
    <row r="12" spans="1:56" s="6" customFormat="1" ht="24.95" customHeight="1" thickBot="1">
      <c r="A12" s="475"/>
      <c r="B12" s="477"/>
      <c r="C12" s="476"/>
      <c r="D12" s="475"/>
      <c r="E12" s="761"/>
      <c r="F12" s="533"/>
      <c r="G12" s="524"/>
      <c r="H12" s="798"/>
      <c r="I12" s="797"/>
      <c r="J12" s="797"/>
      <c r="K12" s="797"/>
      <c r="L12" s="797"/>
      <c r="M12" s="797"/>
      <c r="N12" s="797"/>
      <c r="O12" s="797"/>
      <c r="P12" s="797"/>
      <c r="Q12" s="797"/>
      <c r="R12" s="797"/>
      <c r="S12" s="797"/>
      <c r="T12" s="797"/>
      <c r="U12" s="797"/>
      <c r="V12" s="797"/>
      <c r="W12" s="797"/>
      <c r="X12" s="797"/>
      <c r="Y12" s="797"/>
      <c r="Z12" s="797"/>
      <c r="AA12" s="797"/>
      <c r="AB12" s="797"/>
      <c r="AC12" s="797"/>
      <c r="AD12" s="797"/>
      <c r="AE12" s="797"/>
      <c r="AF12" s="797"/>
      <c r="AG12" s="797"/>
      <c r="AH12" s="797"/>
      <c r="AI12" s="797"/>
      <c r="AJ12" s="797"/>
      <c r="AK12" s="797"/>
      <c r="AL12" s="797"/>
      <c r="AM12" s="798"/>
      <c r="AN12" s="524"/>
      <c r="AO12" s="524"/>
      <c r="AP12" s="524"/>
      <c r="AQ12" s="524"/>
      <c r="AR12" s="524"/>
      <c r="AS12" s="524"/>
      <c r="AT12" s="524"/>
      <c r="AU12" s="524"/>
      <c r="AV12" s="524"/>
      <c r="AW12" s="524"/>
      <c r="AX12" s="524"/>
      <c r="AY12" s="524"/>
      <c r="AZ12" s="524"/>
      <c r="BA12" s="524"/>
      <c r="BB12" s="524"/>
      <c r="BC12" s="524"/>
      <c r="BD12" s="524"/>
    </row>
    <row r="13" spans="1:56" s="6" customFormat="1" ht="24.95" customHeight="1" thickTop="1">
      <c r="A13" s="475"/>
      <c r="B13" s="1379" t="s">
        <v>334</v>
      </c>
      <c r="C13" s="1380"/>
      <c r="D13" s="475"/>
      <c r="E13" s="762">
        <f>Kalkulation_Eigenstrom!E25</f>
        <v>1</v>
      </c>
      <c r="F13" s="533">
        <f>Kalkulation_Eigenstrom!E25</f>
        <v>1</v>
      </c>
      <c r="G13" s="524"/>
      <c r="H13" s="798"/>
      <c r="I13" s="797"/>
      <c r="J13" s="797"/>
      <c r="K13" s="797"/>
      <c r="L13" s="797"/>
      <c r="M13" s="797"/>
      <c r="N13" s="797"/>
      <c r="O13" s="797"/>
      <c r="P13" s="797"/>
      <c r="Q13" s="797"/>
      <c r="R13" s="797"/>
      <c r="S13" s="797"/>
      <c r="T13" s="797"/>
      <c r="U13" s="797"/>
      <c r="V13" s="797"/>
      <c r="W13" s="797"/>
      <c r="X13" s="797"/>
      <c r="Y13" s="797"/>
      <c r="Z13" s="797"/>
      <c r="AA13" s="797"/>
      <c r="AB13" s="797"/>
      <c r="AC13" s="797"/>
      <c r="AD13" s="797"/>
      <c r="AE13" s="797"/>
      <c r="AF13" s="797"/>
      <c r="AG13" s="797"/>
      <c r="AH13" s="797"/>
      <c r="AI13" s="797"/>
      <c r="AJ13" s="797"/>
      <c r="AK13" s="797"/>
      <c r="AL13" s="797"/>
      <c r="AM13" s="798"/>
      <c r="AN13" s="524"/>
      <c r="AO13" s="524"/>
      <c r="AP13" s="524"/>
      <c r="AQ13" s="524"/>
      <c r="AR13" s="524"/>
      <c r="AS13" s="524"/>
      <c r="AT13" s="524"/>
      <c r="AU13" s="524"/>
      <c r="AV13" s="524"/>
      <c r="AW13" s="524"/>
      <c r="AX13" s="524"/>
      <c r="AY13" s="524"/>
      <c r="AZ13" s="524"/>
      <c r="BA13" s="524"/>
      <c r="BB13" s="524"/>
      <c r="BC13" s="524"/>
      <c r="BD13" s="524"/>
    </row>
    <row r="14" spans="1:56" s="6" customFormat="1" ht="11.85" customHeight="1" thickBot="1">
      <c r="A14" s="475"/>
      <c r="B14" s="1377" t="s">
        <v>356</v>
      </c>
      <c r="C14" s="1378"/>
      <c r="D14" s="475"/>
      <c r="E14" s="761"/>
      <c r="F14" s="533"/>
      <c r="G14" s="524"/>
      <c r="H14" s="800"/>
      <c r="I14" s="800"/>
      <c r="J14" s="800"/>
      <c r="K14" s="800"/>
      <c r="L14" s="800"/>
      <c r="M14" s="800"/>
      <c r="N14" s="800"/>
      <c r="O14" s="800"/>
      <c r="P14" s="800"/>
      <c r="Q14" s="800"/>
      <c r="R14" s="800"/>
      <c r="S14" s="800"/>
      <c r="T14" s="800"/>
      <c r="U14" s="800"/>
      <c r="V14" s="800"/>
      <c r="W14" s="799"/>
      <c r="X14" s="800"/>
      <c r="Y14" s="800"/>
      <c r="Z14" s="800"/>
      <c r="AA14" s="800"/>
      <c r="AB14" s="800"/>
      <c r="AC14" s="800"/>
      <c r="AD14" s="800"/>
      <c r="AE14" s="800"/>
      <c r="AF14" s="800"/>
      <c r="AG14" s="800"/>
      <c r="AH14" s="800"/>
      <c r="AI14" s="800"/>
      <c r="AJ14" s="800"/>
      <c r="AK14" s="800"/>
      <c r="AL14" s="800"/>
      <c r="AM14" s="800"/>
      <c r="AN14" s="524"/>
      <c r="AO14" s="524"/>
      <c r="AP14" s="524"/>
      <c r="AQ14" s="524"/>
      <c r="AR14" s="524"/>
      <c r="AS14" s="524"/>
      <c r="AT14" s="524"/>
      <c r="AU14" s="524"/>
      <c r="AV14" s="524"/>
      <c r="AW14" s="524"/>
      <c r="AX14" s="524"/>
      <c r="AY14" s="524"/>
      <c r="AZ14" s="524"/>
      <c r="BA14" s="524"/>
      <c r="BB14" s="524"/>
      <c r="BC14" s="524"/>
      <c r="BD14" s="524"/>
    </row>
    <row r="15" spans="1:56" s="6" customFormat="1" ht="2.4500000000000002" customHeight="1" thickTop="1">
      <c r="A15" s="475"/>
      <c r="B15" s="477"/>
      <c r="C15" s="475"/>
      <c r="D15" s="475"/>
      <c r="E15" s="761"/>
      <c r="F15" s="533"/>
      <c r="G15" s="524"/>
      <c r="H15" s="260"/>
      <c r="I15" s="261"/>
      <c r="J15" s="261"/>
      <c r="K15" s="261"/>
      <c r="L15" s="261"/>
      <c r="M15" s="261"/>
      <c r="N15" s="261"/>
      <c r="O15" s="261"/>
      <c r="P15" s="262"/>
      <c r="Q15" s="262"/>
      <c r="R15" s="262"/>
      <c r="S15" s="262"/>
      <c r="T15" s="262"/>
      <c r="U15" s="262"/>
      <c r="V15" s="263"/>
      <c r="W15" s="248"/>
      <c r="X15" s="483"/>
      <c r="Y15" s="262"/>
      <c r="Z15" s="262"/>
      <c r="AA15" s="262"/>
      <c r="AB15" s="262"/>
      <c r="AC15" s="262"/>
      <c r="AD15" s="262"/>
      <c r="AE15" s="262"/>
      <c r="AF15" s="262"/>
      <c r="AG15" s="262"/>
      <c r="AH15" s="262"/>
      <c r="AI15" s="262"/>
      <c r="AJ15" s="262"/>
      <c r="AK15" s="262"/>
      <c r="AL15" s="262"/>
      <c r="AM15" s="263"/>
      <c r="AN15" s="524"/>
      <c r="AO15" s="524"/>
      <c r="AP15" s="524"/>
      <c r="AQ15" s="524"/>
      <c r="AR15" s="524"/>
      <c r="AS15" s="524"/>
      <c r="AT15" s="524"/>
      <c r="AU15" s="524"/>
      <c r="AV15" s="524"/>
      <c r="AW15" s="524"/>
      <c r="AX15" s="524"/>
      <c r="AY15" s="524"/>
      <c r="AZ15" s="524"/>
      <c r="BA15" s="524"/>
      <c r="BB15" s="524"/>
      <c r="BC15" s="524"/>
      <c r="BD15" s="524"/>
    </row>
    <row r="16" spans="1:56" s="6" customFormat="1" ht="11.85" customHeight="1" thickBot="1">
      <c r="A16" s="475"/>
      <c r="B16" s="477"/>
      <c r="C16" s="475"/>
      <c r="D16" s="475"/>
      <c r="E16" s="761"/>
      <c r="F16" s="533"/>
      <c r="G16" s="524"/>
      <c r="H16" s="1265" t="str">
        <f>""&amp;ZRB!G10&amp;":"</f>
        <v>Dachanlage:</v>
      </c>
      <c r="I16" s="1266"/>
      <c r="J16" s="1266"/>
      <c r="K16" s="1266"/>
      <c r="L16" s="1266"/>
      <c r="M16" s="1266"/>
      <c r="N16" s="1266"/>
      <c r="O16" s="1266"/>
      <c r="P16" s="1266"/>
      <c r="Q16" s="1585" t="str">
        <f>IF(ZRB!G6=0,"",ZRB!G6)</f>
        <v/>
      </c>
      <c r="R16" s="1585"/>
      <c r="S16" s="1585"/>
      <c r="T16" s="1585"/>
      <c r="U16" s="1585"/>
      <c r="V16" s="1586"/>
      <c r="W16" s="248"/>
      <c r="X16" s="1265" t="s">
        <v>292</v>
      </c>
      <c r="Y16" s="1266"/>
      <c r="Z16" s="1266"/>
      <c r="AA16" s="1266"/>
      <c r="AB16" s="1266"/>
      <c r="AC16" s="1596" t="str">
        <f>"(im ø der "&amp;ZRB!G21&amp;" Jahre Laufzeit)"</f>
        <v>(im ø der 20 Jahre Laufzeit)</v>
      </c>
      <c r="AD16" s="1596"/>
      <c r="AE16" s="1596"/>
      <c r="AF16" s="1596"/>
      <c r="AG16" s="1596"/>
      <c r="AH16" s="1596"/>
      <c r="AI16" s="1521" t="str">
        <f>IF(ZRB!G23=0,"",ZRB!G23)</f>
        <v/>
      </c>
      <c r="AJ16" s="1521"/>
      <c r="AK16" s="1521"/>
      <c r="AL16" s="1521"/>
      <c r="AM16" s="1522"/>
      <c r="AN16" s="524"/>
      <c r="AO16" s="524"/>
      <c r="AP16" s="524"/>
      <c r="AQ16" s="524"/>
      <c r="AR16" s="524"/>
      <c r="AS16" s="524"/>
      <c r="AT16" s="524"/>
      <c r="AU16" s="524"/>
      <c r="AV16" s="524"/>
      <c r="AW16" s="524"/>
      <c r="AX16" s="524"/>
      <c r="AY16" s="524"/>
      <c r="AZ16" s="524"/>
      <c r="BA16" s="524"/>
      <c r="BB16" s="524"/>
      <c r="BC16" s="524"/>
      <c r="BD16" s="524"/>
    </row>
    <row r="17" spans="1:56" s="6" customFormat="1" ht="2.4500000000000002" customHeight="1" thickTop="1">
      <c r="A17" s="475"/>
      <c r="B17" s="1379" t="s">
        <v>272</v>
      </c>
      <c r="C17" s="1380"/>
      <c r="D17" s="475"/>
      <c r="E17" s="761"/>
      <c r="F17" s="533"/>
      <c r="G17" s="524"/>
      <c r="H17" s="1265"/>
      <c r="I17" s="1266"/>
      <c r="J17" s="1266"/>
      <c r="K17" s="1266"/>
      <c r="L17" s="1266"/>
      <c r="M17" s="1266"/>
      <c r="N17" s="1266"/>
      <c r="O17" s="1266"/>
      <c r="P17" s="1266"/>
      <c r="Q17" s="1585"/>
      <c r="R17" s="1585"/>
      <c r="S17" s="1585"/>
      <c r="T17" s="1585"/>
      <c r="U17" s="1585"/>
      <c r="V17" s="1586"/>
      <c r="W17" s="248"/>
      <c r="X17" s="1265"/>
      <c r="Y17" s="1266"/>
      <c r="Z17" s="1266"/>
      <c r="AA17" s="1266"/>
      <c r="AB17" s="1266"/>
      <c r="AC17" s="1596"/>
      <c r="AD17" s="1596"/>
      <c r="AE17" s="1596"/>
      <c r="AF17" s="1596"/>
      <c r="AG17" s="1596"/>
      <c r="AH17" s="1596"/>
      <c r="AI17" s="1521"/>
      <c r="AJ17" s="1521"/>
      <c r="AK17" s="1521"/>
      <c r="AL17" s="1521"/>
      <c r="AM17" s="1522"/>
      <c r="AN17" s="524"/>
      <c r="AO17" s="524"/>
      <c r="AP17" s="524"/>
      <c r="AQ17" s="524"/>
      <c r="AR17" s="524"/>
      <c r="AS17" s="524"/>
      <c r="AT17" s="524"/>
      <c r="AU17" s="524"/>
      <c r="AV17" s="524"/>
      <c r="AW17" s="524"/>
      <c r="AX17" s="524"/>
      <c r="AY17" s="524"/>
      <c r="AZ17" s="524"/>
      <c r="BA17" s="524"/>
      <c r="BB17" s="524"/>
      <c r="BC17" s="524"/>
      <c r="BD17" s="524"/>
    </row>
    <row r="18" spans="1:56" s="6" customFormat="1" ht="11.85" customHeight="1">
      <c r="A18" s="475"/>
      <c r="B18" s="1381"/>
      <c r="C18" s="1382"/>
      <c r="D18" s="475"/>
      <c r="E18" s="761"/>
      <c r="F18" s="533">
        <f>Kalkulation_Eigenstrom!E45</f>
        <v>1</v>
      </c>
      <c r="G18" s="524"/>
      <c r="H18" s="1265"/>
      <c r="I18" s="1266"/>
      <c r="J18" s="1266"/>
      <c r="K18" s="1266"/>
      <c r="L18" s="1266"/>
      <c r="M18" s="1266"/>
      <c r="N18" s="1266"/>
      <c r="O18" s="1266"/>
      <c r="P18" s="1266"/>
      <c r="Q18" s="1585"/>
      <c r="R18" s="1585"/>
      <c r="S18" s="1585"/>
      <c r="T18" s="1585"/>
      <c r="U18" s="1585"/>
      <c r="V18" s="1586"/>
      <c r="W18" s="266"/>
      <c r="X18" s="1265"/>
      <c r="Y18" s="1266"/>
      <c r="Z18" s="1266"/>
      <c r="AA18" s="1266"/>
      <c r="AB18" s="1266"/>
      <c r="AC18" s="1596"/>
      <c r="AD18" s="1596"/>
      <c r="AE18" s="1596"/>
      <c r="AF18" s="1596"/>
      <c r="AG18" s="1596"/>
      <c r="AH18" s="1596"/>
      <c r="AI18" s="1521"/>
      <c r="AJ18" s="1521"/>
      <c r="AK18" s="1521"/>
      <c r="AL18" s="1521"/>
      <c r="AM18" s="1522"/>
      <c r="AN18" s="524"/>
      <c r="AO18" s="524"/>
      <c r="AP18" s="524"/>
      <c r="AQ18" s="524"/>
      <c r="AR18" s="524"/>
      <c r="AS18" s="524"/>
      <c r="AT18" s="524"/>
      <c r="AU18" s="524"/>
      <c r="AV18" s="524"/>
      <c r="AW18" s="524"/>
      <c r="AX18" s="524"/>
      <c r="AY18" s="524"/>
      <c r="AZ18" s="524"/>
      <c r="BA18" s="524"/>
      <c r="BB18" s="524"/>
      <c r="BC18" s="524"/>
      <c r="BD18" s="524"/>
    </row>
    <row r="19" spans="1:56" s="6" customFormat="1" ht="2.4500000000000002" customHeight="1">
      <c r="A19" s="475"/>
      <c r="B19" s="1381"/>
      <c r="C19" s="1382"/>
      <c r="D19" s="475"/>
      <c r="E19" s="761"/>
      <c r="F19" s="533"/>
      <c r="G19" s="524"/>
      <c r="H19" s="394"/>
      <c r="I19" s="1518" t="s">
        <v>375</v>
      </c>
      <c r="J19" s="1518"/>
      <c r="K19" s="1518"/>
      <c r="L19" s="1518"/>
      <c r="M19" s="1518"/>
      <c r="N19" s="1518"/>
      <c r="O19" s="1518"/>
      <c r="P19" s="1518"/>
      <c r="Q19" s="1520" t="str">
        <f>ZRB!G11</f>
        <v>Stuttgart</v>
      </c>
      <c r="R19" s="1520"/>
      <c r="S19" s="1520"/>
      <c r="T19" s="1520"/>
      <c r="U19" s="1520"/>
      <c r="V19" s="329"/>
      <c r="W19" s="248"/>
      <c r="X19" s="641"/>
      <c r="Y19" s="1501" t="s">
        <v>368</v>
      </c>
      <c r="Z19" s="1501"/>
      <c r="AA19" s="1501"/>
      <c r="AB19" s="1501"/>
      <c r="AC19" s="1501"/>
      <c r="AD19" s="252"/>
      <c r="AE19" s="252"/>
      <c r="AF19" s="252"/>
      <c r="AG19" s="252"/>
      <c r="AH19" s="252"/>
      <c r="AI19" s="1523" t="str">
        <f>IF(ZRB!G19=0,"",ZRB!G19)</f>
        <v/>
      </c>
      <c r="AJ19" s="1523"/>
      <c r="AK19" s="1523"/>
      <c r="AL19" s="1523"/>
      <c r="AM19" s="1524"/>
      <c r="AN19" s="524"/>
      <c r="AO19" s="524"/>
      <c r="AP19" s="524"/>
      <c r="AQ19" s="524"/>
      <c r="AR19" s="524"/>
      <c r="AS19" s="524"/>
      <c r="AT19" s="524"/>
      <c r="AU19" s="524"/>
      <c r="AV19" s="524"/>
      <c r="AW19" s="524"/>
      <c r="AX19" s="524"/>
      <c r="AY19" s="524"/>
      <c r="AZ19" s="524"/>
      <c r="BA19" s="524"/>
      <c r="BB19" s="524"/>
      <c r="BC19" s="524"/>
      <c r="BD19" s="524"/>
    </row>
    <row r="20" spans="1:56" s="6" customFormat="1" ht="11.85" customHeight="1">
      <c r="A20" s="475"/>
      <c r="B20" s="1381"/>
      <c r="C20" s="1382"/>
      <c r="D20" s="475"/>
      <c r="E20" s="762">
        <f>Kalkulation_Eigenstrom!E45</f>
        <v>1</v>
      </c>
      <c r="F20" s="533"/>
      <c r="G20" s="524"/>
      <c r="H20" s="391"/>
      <c r="I20" s="1518"/>
      <c r="J20" s="1518"/>
      <c r="K20" s="1518"/>
      <c r="L20" s="1518"/>
      <c r="M20" s="1518"/>
      <c r="N20" s="1518"/>
      <c r="O20" s="1518"/>
      <c r="P20" s="1518"/>
      <c r="Q20" s="1520"/>
      <c r="R20" s="1520"/>
      <c r="S20" s="1520"/>
      <c r="T20" s="1520"/>
      <c r="U20" s="1520"/>
      <c r="V20" s="264"/>
      <c r="W20" s="248"/>
      <c r="X20" s="641"/>
      <c r="Y20" s="1501"/>
      <c r="Z20" s="1501"/>
      <c r="AA20" s="1501"/>
      <c r="AB20" s="1501"/>
      <c r="AC20" s="1501"/>
      <c r="AD20" s="1625">
        <f>ZRB!G18</f>
        <v>930</v>
      </c>
      <c r="AE20" s="1625"/>
      <c r="AF20" s="1625"/>
      <c r="AG20" s="1625"/>
      <c r="AH20" s="1625"/>
      <c r="AI20" s="1523"/>
      <c r="AJ20" s="1523"/>
      <c r="AK20" s="1523"/>
      <c r="AL20" s="1523"/>
      <c r="AM20" s="1524"/>
      <c r="AN20" s="524"/>
      <c r="AO20" s="524"/>
      <c r="AP20" s="524"/>
      <c r="AQ20" s="524"/>
      <c r="AR20" s="524"/>
      <c r="AS20" s="524"/>
      <c r="AT20" s="524"/>
      <c r="AU20" s="524"/>
      <c r="AV20" s="524"/>
      <c r="AW20" s="524"/>
      <c r="AX20" s="524"/>
      <c r="AY20" s="524"/>
      <c r="AZ20" s="524"/>
      <c r="BA20" s="524"/>
      <c r="BB20" s="524"/>
      <c r="BC20" s="524"/>
      <c r="BD20" s="524"/>
    </row>
    <row r="21" spans="1:56" s="6" customFormat="1" ht="2.4500000000000002" customHeight="1" thickBot="1">
      <c r="A21" s="475"/>
      <c r="B21" s="1377" t="s">
        <v>356</v>
      </c>
      <c r="C21" s="1378"/>
      <c r="D21" s="475"/>
      <c r="E21" s="761"/>
      <c r="F21" s="533"/>
      <c r="G21" s="524"/>
      <c r="H21" s="391"/>
      <c r="I21" s="1518" t="s">
        <v>304</v>
      </c>
      <c r="J21" s="1518"/>
      <c r="K21" s="1518"/>
      <c r="L21" s="1518"/>
      <c r="M21" s="1518"/>
      <c r="N21" s="1518"/>
      <c r="O21" s="1518"/>
      <c r="P21" s="1518"/>
      <c r="Q21" s="1520" t="str">
        <f>ZRB!G12</f>
        <v>Mai  2022</v>
      </c>
      <c r="R21" s="1520"/>
      <c r="S21" s="1520"/>
      <c r="T21" s="1520"/>
      <c r="U21" s="1520"/>
      <c r="V21" s="264"/>
      <c r="W21" s="248"/>
      <c r="X21" s="641"/>
      <c r="Y21" s="1501" t="str">
        <f>"Solarertrag im "&amp;ZRB!G21&amp;". Jahr"</f>
        <v>Solarertrag im 20. Jahr</v>
      </c>
      <c r="Z21" s="1501"/>
      <c r="AA21" s="1501"/>
      <c r="AB21" s="1501"/>
      <c r="AC21" s="1501"/>
      <c r="AD21" s="664"/>
      <c r="AE21" s="664"/>
      <c r="AF21" s="664"/>
      <c r="AG21" s="664"/>
      <c r="AH21" s="664"/>
      <c r="AI21" s="1523" t="str">
        <f>IF(ZRB!G22=0,"",ZRB!G22)</f>
        <v/>
      </c>
      <c r="AJ21" s="1523"/>
      <c r="AK21" s="1523"/>
      <c r="AL21" s="1523"/>
      <c r="AM21" s="1524"/>
      <c r="AN21" s="524"/>
      <c r="AO21" s="524"/>
      <c r="AP21" s="524"/>
      <c r="AQ21" s="524"/>
      <c r="AR21" s="524"/>
      <c r="AS21" s="524"/>
      <c r="AT21" s="524"/>
      <c r="AU21" s="524"/>
      <c r="AV21" s="524"/>
      <c r="AW21" s="524"/>
      <c r="AX21" s="524"/>
      <c r="AY21" s="524"/>
      <c r="AZ21" s="524"/>
      <c r="BA21" s="524"/>
      <c r="BB21" s="524"/>
      <c r="BC21" s="524"/>
      <c r="BD21" s="524"/>
    </row>
    <row r="22" spans="1:56" s="6" customFormat="1" ht="11.85" customHeight="1" thickTop="1">
      <c r="A22" s="475"/>
      <c r="B22" s="477"/>
      <c r="C22" s="475"/>
      <c r="D22" s="475"/>
      <c r="E22" s="761"/>
      <c r="F22" s="533"/>
      <c r="G22" s="524"/>
      <c r="H22" s="391"/>
      <c r="I22" s="1518"/>
      <c r="J22" s="1518"/>
      <c r="K22" s="1518"/>
      <c r="L22" s="1518"/>
      <c r="M22" s="1518"/>
      <c r="N22" s="1518"/>
      <c r="O22" s="1518"/>
      <c r="P22" s="1518"/>
      <c r="Q22" s="1520"/>
      <c r="R22" s="1520"/>
      <c r="S22" s="1520"/>
      <c r="T22" s="1520"/>
      <c r="U22" s="1520"/>
      <c r="V22" s="264"/>
      <c r="W22" s="248"/>
      <c r="X22" s="641"/>
      <c r="Y22" s="1501"/>
      <c r="Z22" s="1501"/>
      <c r="AA22" s="1501"/>
      <c r="AB22" s="1501"/>
      <c r="AC22" s="1501"/>
      <c r="AD22" s="1624" t="str">
        <f>"(Systemalterung ca. "&amp;ROUND(ZRB!G20*100,3)&amp;"% / Jahr)"</f>
        <v>(Systemalterung ca. 0,5% / Jahr)</v>
      </c>
      <c r="AE22" s="1624"/>
      <c r="AF22" s="1624"/>
      <c r="AG22" s="1624"/>
      <c r="AH22" s="1624"/>
      <c r="AI22" s="1523"/>
      <c r="AJ22" s="1523"/>
      <c r="AK22" s="1523"/>
      <c r="AL22" s="1523"/>
      <c r="AM22" s="1524"/>
      <c r="AN22" s="524"/>
      <c r="AO22" s="524"/>
      <c r="AP22" s="524"/>
      <c r="AQ22" s="524"/>
      <c r="AR22" s="524"/>
      <c r="AS22" s="524"/>
      <c r="AT22" s="524"/>
      <c r="AU22" s="524"/>
      <c r="AV22" s="524"/>
      <c r="AW22" s="524"/>
      <c r="AX22" s="524"/>
      <c r="AY22" s="524"/>
      <c r="AZ22" s="524"/>
      <c r="BA22" s="524"/>
      <c r="BB22" s="524"/>
      <c r="BC22" s="524"/>
      <c r="BD22" s="524"/>
    </row>
    <row r="23" spans="1:56" s="6" customFormat="1" ht="2.4500000000000002" customHeight="1">
      <c r="A23" s="475"/>
      <c r="B23" s="477"/>
      <c r="C23" s="475"/>
      <c r="D23" s="475"/>
      <c r="E23" s="761"/>
      <c r="F23" s="533"/>
      <c r="G23" s="524"/>
      <c r="H23" s="392"/>
      <c r="I23" s="1518" t="s">
        <v>367</v>
      </c>
      <c r="J23" s="1518"/>
      <c r="K23" s="1518"/>
      <c r="L23" s="1518"/>
      <c r="M23" s="1518"/>
      <c r="N23" s="1518"/>
      <c r="O23" s="1518"/>
      <c r="P23" s="1518"/>
      <c r="Q23" s="1623">
        <f>ZRB!G21</f>
        <v>20</v>
      </c>
      <c r="R23" s="1623"/>
      <c r="S23" s="1623"/>
      <c r="T23" s="1623"/>
      <c r="U23" s="1623"/>
      <c r="V23" s="264"/>
      <c r="W23" s="248"/>
      <c r="X23" s="641"/>
      <c r="Y23" s="252"/>
      <c r="Z23" s="252"/>
      <c r="AA23" s="252"/>
      <c r="AB23" s="252"/>
      <c r="AC23" s="252"/>
      <c r="AD23" s="252"/>
      <c r="AE23" s="252"/>
      <c r="AF23" s="252"/>
      <c r="AG23" s="252"/>
      <c r="AH23" s="252"/>
      <c r="AI23" s="252"/>
      <c r="AJ23" s="252"/>
      <c r="AK23" s="252"/>
      <c r="AL23" s="252"/>
      <c r="AM23" s="409"/>
      <c r="AN23" s="524"/>
      <c r="AO23" s="524"/>
      <c r="AP23" s="524"/>
      <c r="AQ23" s="524"/>
      <c r="AR23" s="524"/>
      <c r="AS23" s="524"/>
      <c r="AT23" s="524"/>
      <c r="AU23" s="524"/>
      <c r="AV23" s="524"/>
      <c r="AW23" s="524"/>
      <c r="AX23" s="524"/>
      <c r="AY23" s="524"/>
      <c r="AZ23" s="524"/>
      <c r="BA23" s="524"/>
      <c r="BB23" s="524"/>
      <c r="BC23" s="524"/>
      <c r="BD23" s="524"/>
    </row>
    <row r="24" spans="1:56" s="6" customFormat="1" ht="11.85" customHeight="1" thickBot="1">
      <c r="A24" s="475"/>
      <c r="B24" s="477"/>
      <c r="C24" s="475"/>
      <c r="D24" s="475"/>
      <c r="E24" s="761"/>
      <c r="F24" s="533"/>
      <c r="G24" s="524"/>
      <c r="H24" s="392"/>
      <c r="I24" s="1518"/>
      <c r="J24" s="1518"/>
      <c r="K24" s="1518"/>
      <c r="L24" s="1518"/>
      <c r="M24" s="1518"/>
      <c r="N24" s="1518"/>
      <c r="O24" s="1518"/>
      <c r="P24" s="1518"/>
      <c r="Q24" s="1623"/>
      <c r="R24" s="1623"/>
      <c r="S24" s="1623"/>
      <c r="T24" s="1623"/>
      <c r="U24" s="1623"/>
      <c r="V24" s="264"/>
      <c r="W24" s="248"/>
      <c r="X24" s="641"/>
      <c r="Y24" s="252"/>
      <c r="Z24" s="252"/>
      <c r="AA24" s="252"/>
      <c r="AB24" s="252"/>
      <c r="AC24" s="252"/>
      <c r="AD24" s="252"/>
      <c r="AE24" s="252"/>
      <c r="AF24" s="252"/>
      <c r="AG24" s="252"/>
      <c r="AH24" s="252"/>
      <c r="AI24" s="252"/>
      <c r="AJ24" s="252"/>
      <c r="AK24" s="252"/>
      <c r="AL24" s="252"/>
      <c r="AM24" s="409"/>
      <c r="AN24" s="524"/>
      <c r="AO24" s="524"/>
      <c r="AP24" s="524"/>
      <c r="AQ24" s="524"/>
      <c r="AR24" s="524"/>
      <c r="AS24" s="524"/>
      <c r="AT24" s="524"/>
      <c r="AU24" s="524"/>
      <c r="AV24" s="524"/>
      <c r="AW24" s="524"/>
      <c r="AX24" s="524"/>
      <c r="AY24" s="524"/>
      <c r="AZ24" s="524"/>
      <c r="BA24" s="524"/>
      <c r="BB24" s="524"/>
      <c r="BC24" s="524"/>
      <c r="BD24" s="524"/>
    </row>
    <row r="25" spans="1:56" s="6" customFormat="1" ht="2.4500000000000002" customHeight="1" thickTop="1">
      <c r="A25" s="475"/>
      <c r="B25" s="1379" t="s">
        <v>349</v>
      </c>
      <c r="C25" s="1380"/>
      <c r="D25" s="475"/>
      <c r="E25" s="761"/>
      <c r="F25" s="533"/>
      <c r="G25" s="524"/>
      <c r="H25" s="484"/>
      <c r="I25" s="642"/>
      <c r="J25" s="642"/>
      <c r="K25" s="642"/>
      <c r="L25" s="642"/>
      <c r="M25" s="642"/>
      <c r="N25" s="642"/>
      <c r="O25" s="642"/>
      <c r="P25" s="642"/>
      <c r="Q25" s="485"/>
      <c r="R25" s="485"/>
      <c r="S25" s="485"/>
      <c r="T25" s="485"/>
      <c r="U25" s="485"/>
      <c r="V25" s="643"/>
      <c r="W25" s="248"/>
      <c r="X25" s="641"/>
      <c r="Y25" s="252"/>
      <c r="Z25" s="252"/>
      <c r="AA25" s="252"/>
      <c r="AB25" s="252"/>
      <c r="AC25" s="252"/>
      <c r="AD25" s="252"/>
      <c r="AE25" s="252"/>
      <c r="AF25" s="252"/>
      <c r="AG25" s="252"/>
      <c r="AH25" s="252"/>
      <c r="AI25" s="252"/>
      <c r="AJ25" s="252"/>
      <c r="AK25" s="252"/>
      <c r="AL25" s="252"/>
      <c r="AM25" s="409"/>
      <c r="AN25" s="524"/>
      <c r="AO25" s="524"/>
      <c r="AP25" s="524"/>
      <c r="AQ25" s="524"/>
      <c r="AR25" s="524"/>
      <c r="AS25" s="524"/>
      <c r="AT25" s="524"/>
      <c r="AU25" s="524"/>
      <c r="AV25" s="524"/>
      <c r="AW25" s="524"/>
      <c r="AX25" s="524"/>
      <c r="AY25" s="524"/>
      <c r="AZ25" s="524"/>
      <c r="BA25" s="524"/>
      <c r="BB25" s="524"/>
      <c r="BC25" s="524"/>
      <c r="BD25" s="524"/>
    </row>
    <row r="26" spans="1:56" s="6" customFormat="1" ht="11.85" customHeight="1">
      <c r="A26" s="475"/>
      <c r="B26" s="1381"/>
      <c r="C26" s="1382"/>
      <c r="D26" s="475"/>
      <c r="E26" s="761"/>
      <c r="F26" s="533"/>
      <c r="G26" s="524"/>
      <c r="H26" s="639"/>
      <c r="I26" s="639"/>
      <c r="J26" s="639"/>
      <c r="K26" s="639"/>
      <c r="L26" s="639"/>
      <c r="M26" s="639"/>
      <c r="N26" s="639"/>
      <c r="O26" s="639"/>
      <c r="P26" s="639"/>
      <c r="Q26" s="639"/>
      <c r="R26" s="639"/>
      <c r="S26" s="639"/>
      <c r="T26" s="639"/>
      <c r="U26" s="639"/>
      <c r="V26" s="640"/>
      <c r="W26" s="640"/>
      <c r="X26" s="383"/>
      <c r="Y26" s="1525" t="str">
        <f>Kalkulation_Eigenstrom!W15</f>
        <v/>
      </c>
      <c r="Z26" s="1525"/>
      <c r="AA26" s="1525"/>
      <c r="AB26" s="1525"/>
      <c r="AC26" s="1525"/>
      <c r="AD26" s="1525"/>
      <c r="AE26" s="1525"/>
      <c r="AF26" s="1525"/>
      <c r="AG26" s="1525"/>
      <c r="AH26" s="1525"/>
      <c r="AI26" s="1525"/>
      <c r="AJ26" s="1525"/>
      <c r="AK26" s="1525"/>
      <c r="AL26" s="1525"/>
      <c r="AM26" s="1526"/>
      <c r="AN26" s="524"/>
      <c r="AO26" s="524"/>
      <c r="AP26" s="524"/>
      <c r="AQ26" s="524"/>
      <c r="AR26" s="524"/>
      <c r="AS26" s="524"/>
      <c r="AT26" s="524"/>
      <c r="AU26" s="524"/>
      <c r="AV26" s="524"/>
      <c r="AW26" s="524"/>
      <c r="AX26" s="524"/>
      <c r="AY26" s="524"/>
      <c r="AZ26" s="524"/>
      <c r="BA26" s="524"/>
      <c r="BB26" s="524"/>
      <c r="BC26" s="524"/>
      <c r="BD26" s="524"/>
    </row>
    <row r="27" spans="1:56" s="6" customFormat="1" ht="2.4500000000000002" customHeight="1">
      <c r="A27" s="475"/>
      <c r="B27" s="1381"/>
      <c r="C27" s="1382"/>
      <c r="D27" s="475"/>
      <c r="E27" s="761"/>
      <c r="F27" s="533"/>
      <c r="G27" s="524"/>
      <c r="H27" s="483"/>
      <c r="I27" s="262"/>
      <c r="J27" s="262"/>
      <c r="K27" s="262"/>
      <c r="L27" s="262"/>
      <c r="M27" s="262"/>
      <c r="N27" s="262"/>
      <c r="O27" s="262"/>
      <c r="P27" s="262"/>
      <c r="Q27" s="262"/>
      <c r="R27" s="262"/>
      <c r="S27" s="262"/>
      <c r="T27" s="262"/>
      <c r="U27" s="262"/>
      <c r="V27" s="263"/>
      <c r="W27" s="248"/>
      <c r="X27" s="383"/>
      <c r="Y27" s="1525"/>
      <c r="Z27" s="1525"/>
      <c r="AA27" s="1525"/>
      <c r="AB27" s="1525"/>
      <c r="AC27" s="1525"/>
      <c r="AD27" s="1525"/>
      <c r="AE27" s="1525"/>
      <c r="AF27" s="1525"/>
      <c r="AG27" s="1525"/>
      <c r="AH27" s="1525"/>
      <c r="AI27" s="1525"/>
      <c r="AJ27" s="1525"/>
      <c r="AK27" s="1525"/>
      <c r="AL27" s="1525"/>
      <c r="AM27" s="1526"/>
      <c r="AN27" s="524"/>
      <c r="AO27" s="524"/>
      <c r="AP27" s="524"/>
      <c r="AQ27" s="524"/>
      <c r="AR27" s="524"/>
      <c r="AS27" s="524"/>
      <c r="AT27" s="524"/>
      <c r="AU27" s="524"/>
      <c r="AV27" s="524"/>
      <c r="AW27" s="524"/>
      <c r="AX27" s="524"/>
      <c r="AY27" s="524"/>
      <c r="AZ27" s="524"/>
      <c r="BA27" s="524"/>
      <c r="BB27" s="524"/>
      <c r="BC27" s="524"/>
      <c r="BD27" s="524"/>
    </row>
    <row r="28" spans="1:56" s="6" customFormat="1" ht="11.85" customHeight="1">
      <c r="A28" s="475"/>
      <c r="B28" s="1381"/>
      <c r="C28" s="1382"/>
      <c r="D28" s="475"/>
      <c r="E28" s="761"/>
      <c r="F28" s="896">
        <f>ZRB!G33</f>
        <v>0</v>
      </c>
      <c r="G28" s="524"/>
      <c r="H28" s="1265" t="s">
        <v>267</v>
      </c>
      <c r="I28" s="1266"/>
      <c r="J28" s="1266"/>
      <c r="K28" s="1266"/>
      <c r="L28" s="1266"/>
      <c r="M28" s="1266"/>
      <c r="N28" s="1596" t="str">
        <f>"(im ø der "&amp;ZRB!G21&amp;" J. Laufzeit)"</f>
        <v>(im ø der 20 J. Laufzeit)</v>
      </c>
      <c r="O28" s="1596"/>
      <c r="P28" s="1596"/>
      <c r="Q28" s="1596"/>
      <c r="R28" s="1521" t="str">
        <f>IF(ZRB!G23=0,"",ZRB!G23)</f>
        <v/>
      </c>
      <c r="S28" s="1521"/>
      <c r="T28" s="1521"/>
      <c r="U28" s="1521"/>
      <c r="V28" s="1522"/>
      <c r="W28" s="248"/>
      <c r="X28" s="1366" t="str">
        <f>Kalkulation_Eigenstrom!V17</f>
        <v>kWh / Tag</v>
      </c>
      <c r="Y28" s="1367"/>
      <c r="Z28" s="1367"/>
      <c r="AA28" s="1367"/>
      <c r="AB28" s="1365" t="str">
        <f>Kalkulation_Eigenstrom!Z17</f>
        <v/>
      </c>
      <c r="AC28" s="1365"/>
      <c r="AD28" s="1365"/>
      <c r="AE28" s="1365"/>
      <c r="AF28" s="1365"/>
      <c r="AG28" s="1365"/>
      <c r="AH28" s="1365"/>
      <c r="AI28" s="1365"/>
      <c r="AJ28" s="1365"/>
      <c r="AK28" s="1365"/>
      <c r="AL28" s="298"/>
      <c r="AM28" s="359"/>
      <c r="AN28" s="524"/>
      <c r="AO28" s="524"/>
      <c r="AP28" s="524"/>
      <c r="AQ28" s="524"/>
      <c r="AR28" s="524"/>
      <c r="AS28" s="524"/>
      <c r="AT28" s="524"/>
      <c r="AU28" s="524"/>
      <c r="AV28" s="524"/>
      <c r="AW28" s="524"/>
      <c r="AX28" s="524"/>
      <c r="AY28" s="524"/>
      <c r="AZ28" s="524"/>
      <c r="BA28" s="524"/>
      <c r="BB28" s="524"/>
      <c r="BC28" s="524"/>
      <c r="BD28" s="524"/>
    </row>
    <row r="29" spans="1:56" s="6" customFormat="1" ht="2.4500000000000002" customHeight="1" thickBot="1">
      <c r="A29" s="475"/>
      <c r="B29" s="1377" t="s">
        <v>356</v>
      </c>
      <c r="C29" s="1378"/>
      <c r="D29" s="475"/>
      <c r="E29" s="761"/>
      <c r="F29" s="533"/>
      <c r="G29" s="524"/>
      <c r="H29" s="1265"/>
      <c r="I29" s="1266"/>
      <c r="J29" s="1266"/>
      <c r="K29" s="1266"/>
      <c r="L29" s="1266"/>
      <c r="M29" s="1266"/>
      <c r="N29" s="1596"/>
      <c r="O29" s="1596"/>
      <c r="P29" s="1596"/>
      <c r="Q29" s="1596"/>
      <c r="R29" s="1521"/>
      <c r="S29" s="1521"/>
      <c r="T29" s="1521"/>
      <c r="U29" s="1521"/>
      <c r="V29" s="1522"/>
      <c r="W29" s="248"/>
      <c r="X29" s="301"/>
      <c r="Y29" s="400"/>
      <c r="Z29" s="292"/>
      <c r="AA29" s="293"/>
      <c r="AB29" s="298"/>
      <c r="AC29" s="298"/>
      <c r="AD29" s="298"/>
      <c r="AE29" s="298"/>
      <c r="AF29" s="298"/>
      <c r="AG29" s="298"/>
      <c r="AH29" s="298"/>
      <c r="AI29" s="298"/>
      <c r="AJ29" s="298"/>
      <c r="AK29" s="298"/>
      <c r="AL29" s="298"/>
      <c r="AM29" s="359"/>
      <c r="AN29" s="524"/>
      <c r="AO29" s="524"/>
      <c r="AP29" s="524"/>
      <c r="AQ29" s="524"/>
      <c r="AR29" s="524"/>
      <c r="AS29" s="524"/>
      <c r="AT29" s="524"/>
      <c r="AU29" s="524"/>
      <c r="AV29" s="524"/>
      <c r="AW29" s="524"/>
      <c r="AX29" s="524"/>
      <c r="AY29" s="524"/>
      <c r="AZ29" s="524"/>
      <c r="BA29" s="524"/>
      <c r="BB29" s="524"/>
      <c r="BC29" s="524"/>
      <c r="BD29" s="524"/>
    </row>
    <row r="30" spans="1:56" s="6" customFormat="1" ht="11.85" customHeight="1" thickTop="1">
      <c r="A30" s="475"/>
      <c r="B30" s="477"/>
      <c r="C30" s="475"/>
      <c r="D30" s="475"/>
      <c r="E30" s="762">
        <f>Kalkulation_Eigenstrom!E45</f>
        <v>1</v>
      </c>
      <c r="F30" s="533"/>
      <c r="G30" s="524"/>
      <c r="H30" s="1265"/>
      <c r="I30" s="1266"/>
      <c r="J30" s="1266"/>
      <c r="K30" s="1266"/>
      <c r="L30" s="1266"/>
      <c r="M30" s="1266"/>
      <c r="N30" s="1596"/>
      <c r="O30" s="1596"/>
      <c r="P30" s="1596"/>
      <c r="Q30" s="1596"/>
      <c r="R30" s="1521"/>
      <c r="S30" s="1521"/>
      <c r="T30" s="1521"/>
      <c r="U30" s="1521"/>
      <c r="V30" s="1522"/>
      <c r="W30" s="248"/>
      <c r="X30" s="1348">
        <f>Grafik_Ertrag!E24</f>
        <v>0</v>
      </c>
      <c r="Y30" s="1349"/>
      <c r="Z30" s="1349"/>
      <c r="AA30" s="293"/>
      <c r="AB30" s="293"/>
      <c r="AC30" s="294"/>
      <c r="AD30" s="294"/>
      <c r="AE30" s="294"/>
      <c r="AF30" s="294"/>
      <c r="AG30" s="294"/>
      <c r="AH30" s="294"/>
      <c r="AI30" s="294"/>
      <c r="AJ30" s="294"/>
      <c r="AK30" s="294"/>
      <c r="AL30" s="294"/>
      <c r="AM30" s="295"/>
      <c r="AN30" s="524"/>
      <c r="AO30" s="524"/>
      <c r="AP30" s="524"/>
      <c r="AQ30" s="524"/>
      <c r="AR30" s="524"/>
      <c r="AS30" s="524"/>
      <c r="AT30" s="524"/>
      <c r="AU30" s="524"/>
      <c r="AV30" s="524"/>
      <c r="AW30" s="524"/>
      <c r="AX30" s="524"/>
      <c r="AY30" s="524"/>
      <c r="AZ30" s="524"/>
      <c r="BA30" s="524"/>
      <c r="BB30" s="524"/>
      <c r="BC30" s="524"/>
      <c r="BD30" s="524"/>
    </row>
    <row r="31" spans="1:56" s="6" customFormat="1" ht="2.4500000000000002" customHeight="1">
      <c r="A31" s="475"/>
      <c r="B31" s="477"/>
      <c r="C31" s="475"/>
      <c r="D31" s="475"/>
      <c r="E31" s="761"/>
      <c r="F31" s="533"/>
      <c r="G31" s="524"/>
      <c r="H31" s="392"/>
      <c r="I31" s="1501" t="s">
        <v>521</v>
      </c>
      <c r="J31" s="1501"/>
      <c r="K31" s="1501"/>
      <c r="L31" s="1501"/>
      <c r="M31" s="1501"/>
      <c r="N31" s="1501"/>
      <c r="O31" s="1501"/>
      <c r="P31" s="764"/>
      <c r="Q31" s="764"/>
      <c r="R31" s="1523" t="str">
        <f>IF(ZRB!G32=0,"",ZRB!G32)</f>
        <v/>
      </c>
      <c r="S31" s="1523"/>
      <c r="T31" s="1523"/>
      <c r="U31" s="1523"/>
      <c r="V31" s="1524"/>
      <c r="W31" s="248"/>
      <c r="X31" s="1348"/>
      <c r="Y31" s="1349"/>
      <c r="Z31" s="1349"/>
      <c r="AA31" s="293"/>
      <c r="AB31" s="293"/>
      <c r="AC31" s="296"/>
      <c r="AD31" s="296"/>
      <c r="AE31" s="297"/>
      <c r="AF31" s="297"/>
      <c r="AG31" s="297"/>
      <c r="AH31" s="297"/>
      <c r="AI31" s="298"/>
      <c r="AJ31" s="298"/>
      <c r="AK31" s="299"/>
      <c r="AL31" s="299"/>
      <c r="AM31" s="295"/>
      <c r="AN31" s="524"/>
      <c r="AO31" s="524"/>
      <c r="AP31" s="524"/>
      <c r="AQ31" s="524"/>
      <c r="AR31" s="524"/>
      <c r="AS31" s="524"/>
      <c r="AT31" s="524"/>
      <c r="AU31" s="524"/>
      <c r="AV31" s="524"/>
      <c r="AW31" s="524"/>
      <c r="AX31" s="524"/>
      <c r="AY31" s="524"/>
      <c r="AZ31" s="524"/>
      <c r="BA31" s="524"/>
      <c r="BB31" s="524"/>
      <c r="BC31" s="524"/>
      <c r="BD31" s="524"/>
    </row>
    <row r="32" spans="1:56" s="6" customFormat="1" ht="11.85" customHeight="1" thickBot="1">
      <c r="A32" s="475"/>
      <c r="B32" s="477"/>
      <c r="C32" s="475"/>
      <c r="D32" s="475"/>
      <c r="E32" s="761"/>
      <c r="F32" s="533"/>
      <c r="G32" s="524"/>
      <c r="H32" s="392"/>
      <c r="I32" s="1501"/>
      <c r="J32" s="1501"/>
      <c r="K32" s="1501"/>
      <c r="L32" s="1501"/>
      <c r="M32" s="1501"/>
      <c r="N32" s="1501"/>
      <c r="O32" s="1501"/>
      <c r="P32" s="1502" t="str">
        <f>"( "&amp;ROUND(ZRB!I32*100,2)&amp;"% )"</f>
        <v>( 0% )</v>
      </c>
      <c r="Q32" s="1502"/>
      <c r="R32" s="1523"/>
      <c r="S32" s="1523"/>
      <c r="T32" s="1523"/>
      <c r="U32" s="1523"/>
      <c r="V32" s="1524"/>
      <c r="W32" s="248"/>
      <c r="X32" s="1348"/>
      <c r="Y32" s="1349"/>
      <c r="Z32" s="1349"/>
      <c r="AA32" s="293"/>
      <c r="AB32" s="293"/>
      <c r="AC32" s="296"/>
      <c r="AD32" s="296"/>
      <c r="AE32" s="297"/>
      <c r="AF32" s="297"/>
      <c r="AG32" s="297"/>
      <c r="AH32" s="297"/>
      <c r="AI32" s="298"/>
      <c r="AJ32" s="298"/>
      <c r="AK32" s="299"/>
      <c r="AL32" s="299"/>
      <c r="AM32" s="295"/>
      <c r="AN32" s="524"/>
      <c r="AO32" s="524"/>
      <c r="AP32" s="524"/>
      <c r="AQ32" s="524"/>
      <c r="AR32" s="524"/>
      <c r="AS32" s="524"/>
      <c r="AT32" s="524"/>
      <c r="AU32" s="524"/>
      <c r="AV32" s="524"/>
      <c r="AW32" s="524"/>
      <c r="AX32" s="524"/>
      <c r="AY32" s="524"/>
      <c r="AZ32" s="524"/>
      <c r="BA32" s="524"/>
      <c r="BB32" s="524"/>
      <c r="BC32" s="524"/>
      <c r="BD32" s="524"/>
    </row>
    <row r="33" spans="1:56" s="6" customFormat="1" ht="2.4500000000000002" customHeight="1" thickTop="1">
      <c r="A33" s="475"/>
      <c r="B33" s="1618" t="s">
        <v>540</v>
      </c>
      <c r="C33" s="1245"/>
      <c r="D33" s="475"/>
      <c r="E33" s="761"/>
      <c r="F33" s="533"/>
      <c r="G33" s="524"/>
      <c r="H33" s="392"/>
      <c r="I33" s="1501" t="s">
        <v>369</v>
      </c>
      <c r="J33" s="1501"/>
      <c r="K33" s="1501"/>
      <c r="L33" s="1501"/>
      <c r="M33" s="1501"/>
      <c r="N33" s="1501"/>
      <c r="O33" s="237"/>
      <c r="P33" s="237"/>
      <c r="Q33" s="693"/>
      <c r="R33" s="1523" t="str">
        <f>IF(ZRB!G31=0,"",ZRB!G31)</f>
        <v/>
      </c>
      <c r="S33" s="1523"/>
      <c r="T33" s="1523"/>
      <c r="U33" s="1523"/>
      <c r="V33" s="1524"/>
      <c r="W33" s="248"/>
      <c r="X33" s="302"/>
      <c r="Y33" s="300"/>
      <c r="Z33" s="300"/>
      <c r="AA33" s="293"/>
      <c r="AB33" s="293"/>
      <c r="AC33" s="296"/>
      <c r="AD33" s="296"/>
      <c r="AE33" s="297"/>
      <c r="AF33" s="297"/>
      <c r="AG33" s="297"/>
      <c r="AH33" s="297"/>
      <c r="AI33" s="298"/>
      <c r="AJ33" s="298"/>
      <c r="AK33" s="299"/>
      <c r="AL33" s="299"/>
      <c r="AM33" s="295"/>
      <c r="AN33" s="524"/>
      <c r="AO33" s="524"/>
      <c r="AP33" s="524"/>
      <c r="AQ33" s="524"/>
      <c r="AR33" s="524"/>
      <c r="AS33" s="524"/>
      <c r="AT33" s="524"/>
      <c r="AU33" s="524"/>
      <c r="AV33" s="524"/>
      <c r="AW33" s="524"/>
      <c r="AX33" s="524"/>
      <c r="AY33" s="524"/>
      <c r="AZ33" s="524"/>
      <c r="BA33" s="524"/>
      <c r="BB33" s="524"/>
      <c r="BC33" s="524"/>
      <c r="BD33" s="524"/>
    </row>
    <row r="34" spans="1:56" s="6" customFormat="1" ht="11.85" customHeight="1">
      <c r="A34" s="475"/>
      <c r="B34" s="1246"/>
      <c r="C34" s="1247"/>
      <c r="D34" s="475"/>
      <c r="E34" s="761"/>
      <c r="F34" s="533"/>
      <c r="G34" s="524"/>
      <c r="H34" s="392"/>
      <c r="I34" s="1501"/>
      <c r="J34" s="1501"/>
      <c r="K34" s="1501"/>
      <c r="L34" s="1501"/>
      <c r="M34" s="1501"/>
      <c r="N34" s="1501"/>
      <c r="O34" s="237"/>
      <c r="P34" s="1502" t="str">
        <f>"( "&amp;ROUND(ZRB!I31*100,2)&amp;"% )"</f>
        <v>( 0% )</v>
      </c>
      <c r="Q34" s="1502"/>
      <c r="R34" s="1523"/>
      <c r="S34" s="1523"/>
      <c r="T34" s="1523"/>
      <c r="U34" s="1523"/>
      <c r="V34" s="1524"/>
      <c r="W34" s="248"/>
      <c r="X34" s="1348">
        <f>Grafik_Ertrag!E25</f>
        <v>0</v>
      </c>
      <c r="Y34" s="1349"/>
      <c r="Z34" s="1349"/>
      <c r="AA34" s="293"/>
      <c r="AB34" s="293"/>
      <c r="AC34" s="296"/>
      <c r="AD34" s="296"/>
      <c r="AE34" s="297"/>
      <c r="AF34" s="297"/>
      <c r="AG34" s="297"/>
      <c r="AH34" s="297"/>
      <c r="AI34" s="298"/>
      <c r="AJ34" s="298"/>
      <c r="AK34" s="299"/>
      <c r="AL34" s="299"/>
      <c r="AM34" s="295"/>
      <c r="AN34" s="524"/>
      <c r="AO34" s="524"/>
      <c r="AP34" s="524"/>
      <c r="AQ34" s="524"/>
      <c r="AR34" s="524"/>
      <c r="AS34" s="524"/>
      <c r="AT34" s="524"/>
      <c r="AU34" s="524"/>
      <c r="AV34" s="524"/>
      <c r="AW34" s="524"/>
      <c r="AX34" s="524"/>
      <c r="AY34" s="524"/>
      <c r="AZ34" s="524"/>
      <c r="BA34" s="524"/>
      <c r="BB34" s="524"/>
      <c r="BC34" s="524"/>
      <c r="BD34" s="524"/>
    </row>
    <row r="35" spans="1:56" s="6" customFormat="1" ht="2.4500000000000002" customHeight="1">
      <c r="A35" s="475"/>
      <c r="B35" s="1246"/>
      <c r="C35" s="1247"/>
      <c r="D35" s="475"/>
      <c r="E35" s="761"/>
      <c r="F35" s="533"/>
      <c r="G35" s="524"/>
      <c r="H35" s="484"/>
      <c r="I35" s="694"/>
      <c r="J35" s="485"/>
      <c r="K35" s="485"/>
      <c r="L35" s="485"/>
      <c r="M35" s="485"/>
      <c r="N35" s="485"/>
      <c r="O35" s="485"/>
      <c r="P35" s="485"/>
      <c r="Q35" s="695"/>
      <c r="R35" s="695"/>
      <c r="S35" s="695"/>
      <c r="T35" s="695"/>
      <c r="U35" s="695"/>
      <c r="V35" s="696"/>
      <c r="W35" s="248"/>
      <c r="X35" s="1348"/>
      <c r="Y35" s="1349"/>
      <c r="Z35" s="1349"/>
      <c r="AA35" s="293"/>
      <c r="AB35" s="293"/>
      <c r="AC35" s="296"/>
      <c r="AD35" s="296"/>
      <c r="AE35" s="297"/>
      <c r="AF35" s="297"/>
      <c r="AG35" s="297"/>
      <c r="AH35" s="297"/>
      <c r="AI35" s="298"/>
      <c r="AJ35" s="298"/>
      <c r="AK35" s="299"/>
      <c r="AL35" s="299"/>
      <c r="AM35" s="295"/>
      <c r="AN35" s="524"/>
      <c r="AO35" s="524"/>
      <c r="AP35" s="524"/>
      <c r="AQ35" s="524"/>
      <c r="AR35" s="524"/>
      <c r="AS35" s="524"/>
      <c r="AT35" s="524"/>
      <c r="AU35" s="524"/>
      <c r="AV35" s="524"/>
      <c r="AW35" s="524"/>
      <c r="AX35" s="524"/>
      <c r="AY35" s="524"/>
      <c r="AZ35" s="524"/>
      <c r="BA35" s="524"/>
      <c r="BB35" s="524"/>
      <c r="BC35" s="524"/>
      <c r="BD35" s="524"/>
    </row>
    <row r="36" spans="1:56" s="6" customFormat="1" ht="11.85" customHeight="1">
      <c r="A36" s="475"/>
      <c r="B36" s="1246"/>
      <c r="C36" s="1247"/>
      <c r="D36" s="475"/>
      <c r="E36" s="761"/>
      <c r="F36" s="533"/>
      <c r="G36" s="524"/>
      <c r="H36" s="639"/>
      <c r="I36" s="639"/>
      <c r="J36" s="639"/>
      <c r="K36" s="639"/>
      <c r="L36" s="639"/>
      <c r="M36" s="639"/>
      <c r="N36" s="639"/>
      <c r="O36" s="639"/>
      <c r="P36" s="639"/>
      <c r="Q36" s="639"/>
      <c r="R36" s="639"/>
      <c r="S36" s="639"/>
      <c r="T36" s="639"/>
      <c r="U36" s="639"/>
      <c r="V36" s="640"/>
      <c r="W36" s="248"/>
      <c r="X36" s="1348"/>
      <c r="Y36" s="1349"/>
      <c r="Z36" s="1349"/>
      <c r="AA36" s="293"/>
      <c r="AB36" s="293"/>
      <c r="AC36" s="296"/>
      <c r="AD36" s="296"/>
      <c r="AE36" s="297"/>
      <c r="AF36" s="297"/>
      <c r="AG36" s="297"/>
      <c r="AH36" s="297"/>
      <c r="AI36" s="298"/>
      <c r="AJ36" s="298"/>
      <c r="AK36" s="299"/>
      <c r="AL36" s="299"/>
      <c r="AM36" s="295"/>
      <c r="AN36" s="524"/>
      <c r="AO36" s="524"/>
      <c r="AP36" s="524"/>
      <c r="AQ36" s="524"/>
      <c r="AR36" s="524"/>
      <c r="AS36" s="524"/>
      <c r="AT36" s="524"/>
      <c r="AU36" s="524"/>
      <c r="AV36" s="524"/>
      <c r="AW36" s="524"/>
      <c r="AX36" s="524"/>
      <c r="AY36" s="524"/>
      <c r="AZ36" s="524"/>
      <c r="BA36" s="524"/>
      <c r="BB36" s="524"/>
      <c r="BC36" s="524"/>
      <c r="BD36" s="524"/>
    </row>
    <row r="37" spans="1:56" s="6" customFormat="1" ht="2.4500000000000002" customHeight="1">
      <c r="A37" s="475"/>
      <c r="B37" s="1246"/>
      <c r="C37" s="1247"/>
      <c r="D37" s="475"/>
      <c r="E37" s="761"/>
      <c r="F37" s="533"/>
      <c r="G37" s="524"/>
      <c r="H37" s="260"/>
      <c r="I37" s="261"/>
      <c r="J37" s="261"/>
      <c r="K37" s="261"/>
      <c r="L37" s="261"/>
      <c r="M37" s="261"/>
      <c r="N37" s="261"/>
      <c r="O37" s="261"/>
      <c r="P37" s="262"/>
      <c r="Q37" s="262"/>
      <c r="R37" s="262"/>
      <c r="S37" s="262"/>
      <c r="T37" s="262"/>
      <c r="U37" s="262"/>
      <c r="V37" s="263"/>
      <c r="W37" s="248"/>
      <c r="X37" s="302"/>
      <c r="Y37" s="300"/>
      <c r="Z37" s="300"/>
      <c r="AA37" s="293"/>
      <c r="AB37" s="293"/>
      <c r="AC37" s="296"/>
      <c r="AD37" s="296"/>
      <c r="AE37" s="297"/>
      <c r="AF37" s="297"/>
      <c r="AG37" s="297"/>
      <c r="AH37" s="297"/>
      <c r="AI37" s="298"/>
      <c r="AJ37" s="298"/>
      <c r="AK37" s="299"/>
      <c r="AL37" s="299"/>
      <c r="AM37" s="295"/>
      <c r="AN37" s="524"/>
      <c r="AO37" s="524"/>
      <c r="AP37" s="524"/>
      <c r="AQ37" s="524"/>
      <c r="AR37" s="524"/>
      <c r="AS37" s="524"/>
      <c r="AT37" s="524"/>
      <c r="AU37" s="524"/>
      <c r="AV37" s="524"/>
      <c r="AW37" s="524"/>
      <c r="AX37" s="524"/>
      <c r="AY37" s="524"/>
      <c r="AZ37" s="524"/>
      <c r="BA37" s="524"/>
      <c r="BB37" s="524"/>
      <c r="BC37" s="524"/>
      <c r="BD37" s="524"/>
    </row>
    <row r="38" spans="1:56" s="6" customFormat="1" ht="11.85" customHeight="1">
      <c r="A38" s="475"/>
      <c r="B38" s="1246"/>
      <c r="C38" s="1247"/>
      <c r="D38" s="475"/>
      <c r="E38" s="761"/>
      <c r="F38" s="533"/>
      <c r="G38" s="524"/>
      <c r="H38" s="1265" t="s">
        <v>343</v>
      </c>
      <c r="I38" s="1266"/>
      <c r="J38" s="1266"/>
      <c r="K38" s="1266"/>
      <c r="L38" s="1266"/>
      <c r="M38" s="1266"/>
      <c r="N38" s="638"/>
      <c r="O38" s="1617" t="str">
        <f>IF(ZRB!G6=0,"",ZRB!G57/ZRB!G6)</f>
        <v/>
      </c>
      <c r="P38" s="1617"/>
      <c r="Q38" s="1617"/>
      <c r="R38" s="1583" t="str">
        <f>IF(ZRB!G57=0,"",ZRB!G57)</f>
        <v/>
      </c>
      <c r="S38" s="1583"/>
      <c r="T38" s="1583"/>
      <c r="U38" s="1583"/>
      <c r="V38" s="1584"/>
      <c r="W38" s="248"/>
      <c r="X38" s="1348">
        <f>Grafik_Ertrag!E26</f>
        <v>0</v>
      </c>
      <c r="Y38" s="1349"/>
      <c r="Z38" s="1349"/>
      <c r="AA38" s="293"/>
      <c r="AB38" s="293"/>
      <c r="AC38" s="296"/>
      <c r="AD38" s="296"/>
      <c r="AE38" s="297"/>
      <c r="AF38" s="297"/>
      <c r="AG38" s="297"/>
      <c r="AH38" s="297"/>
      <c r="AI38" s="298"/>
      <c r="AJ38" s="298"/>
      <c r="AK38" s="299"/>
      <c r="AL38" s="299"/>
      <c r="AM38" s="295"/>
      <c r="AN38" s="524"/>
      <c r="AO38" s="524"/>
      <c r="AP38" s="524"/>
      <c r="AQ38" s="524"/>
      <c r="AR38" s="524"/>
      <c r="AS38" s="524"/>
      <c r="AT38" s="524"/>
      <c r="AU38" s="524"/>
      <c r="AV38" s="524"/>
      <c r="AW38" s="524"/>
      <c r="AX38" s="524"/>
      <c r="AY38" s="524"/>
      <c r="AZ38" s="524"/>
      <c r="BA38" s="524"/>
      <c r="BB38" s="524"/>
      <c r="BC38" s="524"/>
      <c r="BD38" s="524"/>
    </row>
    <row r="39" spans="1:56" s="6" customFormat="1" ht="2.4500000000000002" customHeight="1">
      <c r="A39" s="475"/>
      <c r="B39" s="1246"/>
      <c r="C39" s="1247"/>
      <c r="D39" s="475"/>
      <c r="E39" s="761"/>
      <c r="F39" s="533"/>
      <c r="G39" s="524"/>
      <c r="H39" s="1265"/>
      <c r="I39" s="1266"/>
      <c r="J39" s="1266"/>
      <c r="K39" s="1266"/>
      <c r="L39" s="1266"/>
      <c r="M39" s="1266"/>
      <c r="N39" s="638"/>
      <c r="O39" s="1617"/>
      <c r="P39" s="1617"/>
      <c r="Q39" s="1617"/>
      <c r="R39" s="1583"/>
      <c r="S39" s="1583"/>
      <c r="T39" s="1583"/>
      <c r="U39" s="1583"/>
      <c r="V39" s="1584"/>
      <c r="W39" s="248"/>
      <c r="X39" s="1348"/>
      <c r="Y39" s="1349"/>
      <c r="Z39" s="1349"/>
      <c r="AA39" s="293"/>
      <c r="AB39" s="293"/>
      <c r="AC39" s="296"/>
      <c r="AD39" s="296"/>
      <c r="AE39" s="297"/>
      <c r="AF39" s="297"/>
      <c r="AG39" s="297"/>
      <c r="AH39" s="297"/>
      <c r="AI39" s="298"/>
      <c r="AJ39" s="298"/>
      <c r="AK39" s="299"/>
      <c r="AL39" s="299"/>
      <c r="AM39" s="295"/>
      <c r="AN39" s="524"/>
      <c r="AO39" s="524"/>
      <c r="AP39" s="524"/>
      <c r="AQ39" s="524"/>
      <c r="AR39" s="524"/>
      <c r="AS39" s="524"/>
      <c r="AT39" s="524"/>
      <c r="AU39" s="524"/>
      <c r="AV39" s="524"/>
      <c r="AW39" s="524"/>
      <c r="AX39" s="524"/>
      <c r="AY39" s="524"/>
      <c r="AZ39" s="524"/>
      <c r="BA39" s="524"/>
      <c r="BB39" s="524"/>
      <c r="BC39" s="524"/>
      <c r="BD39" s="524"/>
    </row>
    <row r="40" spans="1:56" s="6" customFormat="1" ht="11.85" customHeight="1">
      <c r="A40" s="475"/>
      <c r="B40" s="1246"/>
      <c r="C40" s="1247"/>
      <c r="D40" s="475"/>
      <c r="E40" s="762">
        <f>Kalkulation_Eigenstrom!AN11</f>
        <v>1</v>
      </c>
      <c r="F40" s="533"/>
      <c r="G40" s="524"/>
      <c r="H40" s="1265"/>
      <c r="I40" s="1266"/>
      <c r="J40" s="1266"/>
      <c r="K40" s="1266"/>
      <c r="L40" s="1266"/>
      <c r="M40" s="1266"/>
      <c r="N40" s="638"/>
      <c r="O40" s="1617"/>
      <c r="P40" s="1617"/>
      <c r="Q40" s="1617"/>
      <c r="R40" s="1583"/>
      <c r="S40" s="1583"/>
      <c r="T40" s="1583"/>
      <c r="U40" s="1583"/>
      <c r="V40" s="1584"/>
      <c r="W40" s="248"/>
      <c r="X40" s="1348"/>
      <c r="Y40" s="1349"/>
      <c r="Z40" s="1349"/>
      <c r="AA40" s="293"/>
      <c r="AB40" s="293"/>
      <c r="AC40" s="296"/>
      <c r="AD40" s="296"/>
      <c r="AE40" s="297"/>
      <c r="AF40" s="297"/>
      <c r="AG40" s="297"/>
      <c r="AH40" s="297"/>
      <c r="AI40" s="298"/>
      <c r="AJ40" s="298"/>
      <c r="AK40" s="299"/>
      <c r="AL40" s="299"/>
      <c r="AM40" s="295"/>
      <c r="AN40" s="524"/>
      <c r="AO40" s="524"/>
      <c r="AP40" s="524"/>
      <c r="AQ40" s="524"/>
      <c r="AR40" s="524"/>
      <c r="AS40" s="524"/>
      <c r="AT40" s="524"/>
      <c r="AU40" s="524"/>
      <c r="AV40" s="524"/>
      <c r="AW40" s="524"/>
      <c r="AX40" s="524"/>
      <c r="AY40" s="524"/>
      <c r="AZ40" s="524"/>
      <c r="BA40" s="524"/>
      <c r="BB40" s="524"/>
      <c r="BC40" s="524"/>
      <c r="BD40" s="524"/>
    </row>
    <row r="41" spans="1:56" s="6" customFormat="1" ht="2.4500000000000002" customHeight="1">
      <c r="A41" s="475"/>
      <c r="B41" s="1246"/>
      <c r="C41" s="1247"/>
      <c r="D41" s="475"/>
      <c r="E41" s="761"/>
      <c r="F41" s="533"/>
      <c r="G41" s="524"/>
      <c r="H41" s="392"/>
      <c r="I41" s="237"/>
      <c r="J41" s="237"/>
      <c r="K41" s="237"/>
      <c r="L41" s="237"/>
      <c r="M41" s="237"/>
      <c r="N41" s="237"/>
      <c r="O41" s="237"/>
      <c r="P41" s="237"/>
      <c r="Q41" s="237"/>
      <c r="R41" s="237"/>
      <c r="S41" s="237"/>
      <c r="T41" s="237"/>
      <c r="U41" s="237"/>
      <c r="V41" s="264"/>
      <c r="W41" s="248"/>
      <c r="X41" s="302"/>
      <c r="Y41" s="300"/>
      <c r="Z41" s="300"/>
      <c r="AA41" s="293"/>
      <c r="AB41" s="293"/>
      <c r="AC41" s="296"/>
      <c r="AD41" s="296"/>
      <c r="AE41" s="297"/>
      <c r="AF41" s="297"/>
      <c r="AG41" s="297"/>
      <c r="AH41" s="297"/>
      <c r="AI41" s="298"/>
      <c r="AJ41" s="298"/>
      <c r="AK41" s="299"/>
      <c r="AL41" s="299"/>
      <c r="AM41" s="295"/>
      <c r="AN41" s="524"/>
      <c r="AO41" s="524"/>
      <c r="AP41" s="524"/>
      <c r="AQ41" s="524"/>
      <c r="AR41" s="524"/>
      <c r="AS41" s="524"/>
      <c r="AT41" s="524"/>
      <c r="AU41" s="524"/>
      <c r="AV41" s="524"/>
      <c r="AW41" s="524"/>
      <c r="AX41" s="524"/>
      <c r="AY41" s="524"/>
      <c r="AZ41" s="524"/>
      <c r="BA41" s="524"/>
      <c r="BB41" s="524"/>
      <c r="BC41" s="524"/>
      <c r="BD41" s="524"/>
    </row>
    <row r="42" spans="1:56" s="6" customFormat="1" ht="11.85" customHeight="1">
      <c r="A42" s="475"/>
      <c r="B42" s="1246"/>
      <c r="C42" s="1247"/>
      <c r="D42" s="475"/>
      <c r="E42" s="761"/>
      <c r="F42" s="533"/>
      <c r="G42" s="524"/>
      <c r="H42" s="392"/>
      <c r="I42" s="544" t="str">
        <f>""&amp;Kalkulation_Eigenstrom!AP17&amp;""</f>
        <v>PV-Anlage (Module, AC &amp; DC-Kabel, etc.)</v>
      </c>
      <c r="J42" s="235"/>
      <c r="K42" s="235"/>
      <c r="L42" s="235"/>
      <c r="M42" s="235"/>
      <c r="N42" s="235"/>
      <c r="O42" s="235"/>
      <c r="P42" s="235"/>
      <c r="Q42" s="1503" t="str">
        <f>IF(ZRB!G36=0,"",ZRB!G36)</f>
        <v/>
      </c>
      <c r="R42" s="1503"/>
      <c r="S42" s="1503"/>
      <c r="T42" s="1503"/>
      <c r="U42" s="1503"/>
      <c r="V42" s="1504"/>
      <c r="W42" s="248"/>
      <c r="X42" s="1348">
        <f>Grafik_Ertrag!E27</f>
        <v>0</v>
      </c>
      <c r="Y42" s="1349"/>
      <c r="Z42" s="1349"/>
      <c r="AA42" s="293"/>
      <c r="AB42" s="293"/>
      <c r="AC42" s="296"/>
      <c r="AD42" s="296"/>
      <c r="AE42" s="297"/>
      <c r="AF42" s="297"/>
      <c r="AG42" s="297"/>
      <c r="AH42" s="297"/>
      <c r="AI42" s="298"/>
      <c r="AJ42" s="298"/>
      <c r="AK42" s="299"/>
      <c r="AL42" s="299"/>
      <c r="AM42" s="295"/>
      <c r="AN42" s="524"/>
      <c r="AO42" s="524"/>
      <c r="AP42" s="524"/>
      <c r="AQ42" s="524"/>
      <c r="AR42" s="524"/>
      <c r="AS42" s="524"/>
      <c r="AT42" s="524"/>
      <c r="AU42" s="524"/>
      <c r="AV42" s="524"/>
      <c r="AW42" s="524"/>
      <c r="AX42" s="524"/>
      <c r="AY42" s="524"/>
      <c r="AZ42" s="524"/>
      <c r="BA42" s="524"/>
      <c r="BB42" s="524"/>
      <c r="BC42" s="524"/>
      <c r="BD42" s="524"/>
    </row>
    <row r="43" spans="1:56" s="6" customFormat="1" ht="2.4500000000000002" customHeight="1" thickBot="1">
      <c r="A43" s="475"/>
      <c r="B43" s="1248"/>
      <c r="C43" s="1249"/>
      <c r="D43" s="475"/>
      <c r="E43" s="761"/>
      <c r="F43" s="533"/>
      <c r="G43" s="524"/>
      <c r="H43" s="392"/>
      <c r="I43" s="235"/>
      <c r="J43" s="235"/>
      <c r="K43" s="235"/>
      <c r="L43" s="235"/>
      <c r="M43" s="235"/>
      <c r="N43" s="235"/>
      <c r="O43" s="235"/>
      <c r="P43" s="235"/>
      <c r="Q43" s="235"/>
      <c r="R43" s="235"/>
      <c r="S43" s="235"/>
      <c r="T43" s="235"/>
      <c r="U43" s="235"/>
      <c r="V43" s="667"/>
      <c r="W43" s="248"/>
      <c r="X43" s="1348"/>
      <c r="Y43" s="1349"/>
      <c r="Z43" s="1349"/>
      <c r="AA43" s="293"/>
      <c r="AB43" s="293"/>
      <c r="AC43" s="296"/>
      <c r="AD43" s="296"/>
      <c r="AE43" s="297"/>
      <c r="AF43" s="297"/>
      <c r="AG43" s="297"/>
      <c r="AH43" s="297"/>
      <c r="AI43" s="298"/>
      <c r="AJ43" s="298"/>
      <c r="AK43" s="299"/>
      <c r="AL43" s="299"/>
      <c r="AM43" s="295"/>
      <c r="AN43" s="524"/>
      <c r="AO43" s="524"/>
      <c r="AP43" s="524"/>
      <c r="AQ43" s="524"/>
      <c r="AR43" s="524"/>
      <c r="AS43" s="524"/>
      <c r="AT43" s="524"/>
      <c r="AU43" s="524"/>
      <c r="AV43" s="524"/>
      <c r="AW43" s="524"/>
      <c r="AX43" s="524"/>
      <c r="AY43" s="524"/>
      <c r="AZ43" s="524"/>
      <c r="BA43" s="524"/>
      <c r="BB43" s="524"/>
      <c r="BC43" s="524"/>
      <c r="BD43" s="524"/>
    </row>
    <row r="44" spans="1:56" s="6" customFormat="1" ht="11.85" customHeight="1" thickTop="1">
      <c r="A44" s="475"/>
      <c r="B44" s="477"/>
      <c r="C44" s="475"/>
      <c r="D44" s="475"/>
      <c r="E44" s="761"/>
      <c r="F44" s="533"/>
      <c r="G44" s="524"/>
      <c r="H44" s="392"/>
      <c r="I44" s="544" t="str">
        <f>""&amp;Kalkulation_Eigenstrom!AP19&amp;""</f>
        <v>Wechselrichter</v>
      </c>
      <c r="J44" s="235"/>
      <c r="K44" s="235"/>
      <c r="L44" s="235"/>
      <c r="M44" s="235"/>
      <c r="N44" s="235"/>
      <c r="O44" s="235"/>
      <c r="P44" s="235"/>
      <c r="Q44" s="1503" t="str">
        <f>IF(ZRB!G37=0,"",ZRB!G37)</f>
        <v/>
      </c>
      <c r="R44" s="1503"/>
      <c r="S44" s="1503"/>
      <c r="T44" s="1503"/>
      <c r="U44" s="1503"/>
      <c r="V44" s="1504"/>
      <c r="W44" s="248"/>
      <c r="X44" s="1348"/>
      <c r="Y44" s="1349"/>
      <c r="Z44" s="1349"/>
      <c r="AA44" s="293"/>
      <c r="AB44" s="293"/>
      <c r="AC44" s="296"/>
      <c r="AD44" s="296"/>
      <c r="AE44" s="297"/>
      <c r="AF44" s="297"/>
      <c r="AG44" s="297"/>
      <c r="AH44" s="297"/>
      <c r="AI44" s="298"/>
      <c r="AJ44" s="298"/>
      <c r="AK44" s="299"/>
      <c r="AL44" s="299"/>
      <c r="AM44" s="295"/>
      <c r="AN44" s="524"/>
      <c r="AO44" s="524"/>
      <c r="AP44" s="524"/>
      <c r="AQ44" s="524"/>
      <c r="AR44" s="524"/>
      <c r="AS44" s="524"/>
      <c r="AT44" s="524"/>
      <c r="AU44" s="524"/>
      <c r="AV44" s="524"/>
      <c r="AW44" s="524"/>
      <c r="AX44" s="524"/>
      <c r="AY44" s="524"/>
      <c r="AZ44" s="524"/>
      <c r="BA44" s="524"/>
      <c r="BB44" s="524"/>
      <c r="BC44" s="524"/>
      <c r="BD44" s="524"/>
    </row>
    <row r="45" spans="1:56" s="6" customFormat="1" ht="2.4500000000000002" customHeight="1">
      <c r="A45" s="475"/>
      <c r="B45" s="477"/>
      <c r="C45" s="475"/>
      <c r="D45" s="475"/>
      <c r="E45" s="761"/>
      <c r="F45" s="533"/>
      <c r="G45" s="524"/>
      <c r="H45" s="392"/>
      <c r="I45" s="544"/>
      <c r="J45" s="235"/>
      <c r="K45" s="235"/>
      <c r="L45" s="235"/>
      <c r="M45" s="235"/>
      <c r="N45" s="235"/>
      <c r="O45" s="235"/>
      <c r="P45" s="235"/>
      <c r="Q45" s="235"/>
      <c r="R45" s="235"/>
      <c r="S45" s="235"/>
      <c r="T45" s="235"/>
      <c r="U45" s="235"/>
      <c r="V45" s="667"/>
      <c r="W45" s="248"/>
      <c r="X45" s="302"/>
      <c r="Y45" s="300"/>
      <c r="Z45" s="300"/>
      <c r="AA45" s="293"/>
      <c r="AB45" s="293"/>
      <c r="AC45" s="296"/>
      <c r="AD45" s="296"/>
      <c r="AE45" s="297"/>
      <c r="AF45" s="297"/>
      <c r="AG45" s="297"/>
      <c r="AH45" s="297"/>
      <c r="AI45" s="298"/>
      <c r="AJ45" s="298"/>
      <c r="AK45" s="299"/>
      <c r="AL45" s="299"/>
      <c r="AM45" s="295"/>
      <c r="AN45" s="524"/>
      <c r="AO45" s="524"/>
      <c r="AP45" s="524"/>
      <c r="AQ45" s="524"/>
      <c r="AR45" s="524"/>
      <c r="AS45" s="524"/>
      <c r="AT45" s="524"/>
      <c r="AU45" s="524"/>
      <c r="AV45" s="524"/>
      <c r="AW45" s="524"/>
      <c r="AX45" s="524"/>
      <c r="AY45" s="524"/>
      <c r="AZ45" s="524"/>
      <c r="BA45" s="524"/>
      <c r="BB45" s="524"/>
      <c r="BC45" s="524"/>
      <c r="BD45" s="524"/>
    </row>
    <row r="46" spans="1:56" s="6" customFormat="1" ht="11.85" customHeight="1" thickBot="1">
      <c r="A46" s="475"/>
      <c r="B46" s="477"/>
      <c r="C46" s="475"/>
      <c r="D46" s="475"/>
      <c r="E46" s="761"/>
      <c r="F46" s="533"/>
      <c r="G46" s="524"/>
      <c r="H46" s="392"/>
      <c r="I46" s="544" t="str">
        <f>""&amp;Kalkulation_Eigenstrom!AP21&amp;""</f>
        <v>Unterkonstruktion / Montagegestell</v>
      </c>
      <c r="J46" s="235"/>
      <c r="K46" s="235"/>
      <c r="L46" s="235"/>
      <c r="M46" s="235"/>
      <c r="N46" s="235"/>
      <c r="O46" s="235"/>
      <c r="P46" s="235"/>
      <c r="Q46" s="1503" t="str">
        <f>IF(ZRB!G38=0,"",ZRB!G38)</f>
        <v/>
      </c>
      <c r="R46" s="1503"/>
      <c r="S46" s="1503"/>
      <c r="T46" s="1503"/>
      <c r="U46" s="1503"/>
      <c r="V46" s="1504"/>
      <c r="W46" s="248"/>
      <c r="X46" s="1348">
        <v>0</v>
      </c>
      <c r="Y46" s="1349"/>
      <c r="Z46" s="1349"/>
      <c r="AA46" s="293"/>
      <c r="AB46" s="293"/>
      <c r="AC46" s="296"/>
      <c r="AD46" s="296"/>
      <c r="AE46" s="297"/>
      <c r="AF46" s="297"/>
      <c r="AG46" s="297"/>
      <c r="AH46" s="297"/>
      <c r="AI46" s="298"/>
      <c r="AJ46" s="298"/>
      <c r="AK46" s="299"/>
      <c r="AL46" s="299"/>
      <c r="AM46" s="295"/>
      <c r="AN46" s="524"/>
      <c r="AO46" s="524"/>
      <c r="AP46" s="524"/>
      <c r="AQ46" s="524"/>
      <c r="AR46" s="524"/>
      <c r="AS46" s="524"/>
      <c r="AT46" s="524"/>
      <c r="AU46" s="524"/>
      <c r="AV46" s="524"/>
      <c r="AW46" s="524"/>
      <c r="AX46" s="524"/>
      <c r="AY46" s="524"/>
      <c r="AZ46" s="524"/>
      <c r="BA46" s="524"/>
      <c r="BB46" s="524"/>
      <c r="BC46" s="524"/>
      <c r="BD46" s="524"/>
    </row>
    <row r="47" spans="1:56" s="6" customFormat="1" ht="2.4500000000000002" customHeight="1" thickTop="1">
      <c r="A47" s="475"/>
      <c r="B47" s="1618" t="s">
        <v>538</v>
      </c>
      <c r="C47" s="1245"/>
      <c r="D47" s="475"/>
      <c r="E47" s="761"/>
      <c r="F47" s="533"/>
      <c r="G47" s="524"/>
      <c r="H47" s="392"/>
      <c r="I47" s="544"/>
      <c r="J47" s="235"/>
      <c r="K47" s="235"/>
      <c r="L47" s="235"/>
      <c r="M47" s="235"/>
      <c r="N47" s="235"/>
      <c r="O47" s="235"/>
      <c r="P47" s="235"/>
      <c r="Q47" s="235"/>
      <c r="R47" s="235"/>
      <c r="S47" s="235"/>
      <c r="T47" s="235"/>
      <c r="U47" s="235"/>
      <c r="V47" s="667"/>
      <c r="W47" s="248"/>
      <c r="X47" s="1348"/>
      <c r="Y47" s="1349"/>
      <c r="Z47" s="1349"/>
      <c r="AA47" s="293"/>
      <c r="AB47" s="293"/>
      <c r="AC47" s="296"/>
      <c r="AD47" s="296"/>
      <c r="AE47" s="297"/>
      <c r="AF47" s="297"/>
      <c r="AG47" s="297"/>
      <c r="AH47" s="297"/>
      <c r="AI47" s="298"/>
      <c r="AJ47" s="298"/>
      <c r="AK47" s="299"/>
      <c r="AL47" s="299"/>
      <c r="AM47" s="295"/>
      <c r="AN47" s="524"/>
      <c r="AO47" s="524"/>
      <c r="AP47" s="524"/>
      <c r="AQ47" s="524"/>
      <c r="AR47" s="524"/>
      <c r="AS47" s="524"/>
      <c r="AT47" s="524"/>
      <c r="AU47" s="524"/>
      <c r="AV47" s="524"/>
      <c r="AW47" s="524"/>
      <c r="AX47" s="524"/>
      <c r="AY47" s="524"/>
      <c r="AZ47" s="524"/>
      <c r="BA47" s="524"/>
      <c r="BB47" s="524"/>
      <c r="BC47" s="524"/>
      <c r="BD47" s="524"/>
    </row>
    <row r="48" spans="1:56" s="6" customFormat="1" ht="11.85" customHeight="1">
      <c r="A48" s="475"/>
      <c r="B48" s="1246"/>
      <c r="C48" s="1247"/>
      <c r="D48" s="475"/>
      <c r="E48" s="761"/>
      <c r="F48" s="533"/>
      <c r="G48" s="524"/>
      <c r="H48" s="392"/>
      <c r="I48" s="544" t="str">
        <f>""&amp;Kalkulation_Eigenstrom!AP23&amp;""</f>
        <v>Sonstiges</v>
      </c>
      <c r="J48" s="235"/>
      <c r="K48" s="235"/>
      <c r="L48" s="235"/>
      <c r="M48" s="235"/>
      <c r="N48" s="235"/>
      <c r="O48" s="235"/>
      <c r="P48" s="235"/>
      <c r="Q48" s="1503" t="str">
        <f>IF(ZRB!G39=0,"",ZRB!G39)</f>
        <v/>
      </c>
      <c r="R48" s="1503"/>
      <c r="S48" s="1503"/>
      <c r="T48" s="1503"/>
      <c r="U48" s="1503"/>
      <c r="V48" s="1504"/>
      <c r="W48" s="248"/>
      <c r="X48" s="1348"/>
      <c r="Y48" s="1349"/>
      <c r="Z48" s="1349"/>
      <c r="AA48" s="1350" t="s">
        <v>127</v>
      </c>
      <c r="AB48" s="1350" t="s">
        <v>129</v>
      </c>
      <c r="AC48" s="1350" t="s">
        <v>145</v>
      </c>
      <c r="AD48" s="1350" t="s">
        <v>131</v>
      </c>
      <c r="AE48" s="1350" t="s">
        <v>132</v>
      </c>
      <c r="AF48" s="1350" t="s">
        <v>133</v>
      </c>
      <c r="AG48" s="1350" t="s">
        <v>134</v>
      </c>
      <c r="AH48" s="1350" t="s">
        <v>135</v>
      </c>
      <c r="AI48" s="1350" t="s">
        <v>136</v>
      </c>
      <c r="AJ48" s="1350" t="s">
        <v>137</v>
      </c>
      <c r="AK48" s="1350" t="s">
        <v>138</v>
      </c>
      <c r="AL48" s="1350" t="s">
        <v>139</v>
      </c>
      <c r="AM48" s="295"/>
      <c r="AN48" s="524"/>
      <c r="AO48" s="524"/>
      <c r="AP48" s="524"/>
      <c r="AQ48" s="524"/>
      <c r="AR48" s="524"/>
      <c r="AS48" s="524"/>
      <c r="AT48" s="524"/>
      <c r="AU48" s="524"/>
      <c r="AV48" s="524"/>
      <c r="AW48" s="524"/>
      <c r="AX48" s="524"/>
      <c r="AY48" s="524"/>
      <c r="AZ48" s="524"/>
      <c r="BA48" s="524"/>
      <c r="BB48" s="524"/>
      <c r="BC48" s="524"/>
      <c r="BD48" s="524"/>
    </row>
    <row r="49" spans="1:56" s="6" customFormat="1" ht="2.4500000000000002" customHeight="1">
      <c r="A49" s="475"/>
      <c r="B49" s="1246"/>
      <c r="C49" s="1247"/>
      <c r="D49" s="475"/>
      <c r="E49" s="761"/>
      <c r="F49" s="533"/>
      <c r="G49" s="524"/>
      <c r="H49" s="392"/>
      <c r="I49" s="544"/>
      <c r="J49" s="235"/>
      <c r="K49" s="235"/>
      <c r="L49" s="235"/>
      <c r="M49" s="235"/>
      <c r="N49" s="235"/>
      <c r="O49" s="235"/>
      <c r="P49" s="235"/>
      <c r="Q49" s="235"/>
      <c r="R49" s="235"/>
      <c r="S49" s="235"/>
      <c r="T49" s="235"/>
      <c r="U49" s="235"/>
      <c r="V49" s="667"/>
      <c r="W49" s="248"/>
      <c r="X49" s="1348"/>
      <c r="Y49" s="1349"/>
      <c r="Z49" s="1349"/>
      <c r="AA49" s="1351"/>
      <c r="AB49" s="1351"/>
      <c r="AC49" s="1351"/>
      <c r="AD49" s="1351"/>
      <c r="AE49" s="1351"/>
      <c r="AF49" s="1351"/>
      <c r="AG49" s="1351"/>
      <c r="AH49" s="1351"/>
      <c r="AI49" s="1351"/>
      <c r="AJ49" s="1351"/>
      <c r="AK49" s="1351"/>
      <c r="AL49" s="1351"/>
      <c r="AM49" s="295"/>
      <c r="AN49" s="524"/>
      <c r="AO49" s="524"/>
      <c r="AP49" s="524"/>
      <c r="AQ49" s="524"/>
      <c r="AR49" s="524"/>
      <c r="AS49" s="524"/>
      <c r="AT49" s="524"/>
      <c r="AU49" s="524"/>
      <c r="AV49" s="524"/>
      <c r="AW49" s="524"/>
      <c r="AX49" s="524"/>
      <c r="AY49" s="524"/>
      <c r="AZ49" s="524"/>
      <c r="BA49" s="524"/>
      <c r="BB49" s="524"/>
      <c r="BC49" s="524"/>
      <c r="BD49" s="524"/>
    </row>
    <row r="50" spans="1:56" s="6" customFormat="1" ht="11.85" customHeight="1">
      <c r="A50" s="475"/>
      <c r="B50" s="1246"/>
      <c r="C50" s="1247"/>
      <c r="D50" s="475"/>
      <c r="E50" s="761"/>
      <c r="F50" s="533"/>
      <c r="G50" s="524"/>
      <c r="H50" s="392"/>
      <c r="I50" s="544" t="str">
        <f>""&amp;Kalkulation_Eigenstrom!AP25&amp;""</f>
        <v/>
      </c>
      <c r="J50" s="235"/>
      <c r="K50" s="235"/>
      <c r="L50" s="235"/>
      <c r="M50" s="235"/>
      <c r="N50" s="235"/>
      <c r="O50" s="235"/>
      <c r="P50" s="235"/>
      <c r="Q50" s="1503" t="str">
        <f>IF(ZRB!G40=0,"",ZRB!G40)</f>
        <v/>
      </c>
      <c r="R50" s="1503"/>
      <c r="S50" s="1503"/>
      <c r="T50" s="1503"/>
      <c r="U50" s="1503"/>
      <c r="V50" s="1504"/>
      <c r="W50" s="248"/>
      <c r="X50" s="325"/>
      <c r="Y50" s="293"/>
      <c r="Z50" s="293"/>
      <c r="AA50" s="1352"/>
      <c r="AB50" s="1352"/>
      <c r="AC50" s="1352"/>
      <c r="AD50" s="1352"/>
      <c r="AE50" s="1352"/>
      <c r="AF50" s="1352"/>
      <c r="AG50" s="1352"/>
      <c r="AH50" s="1352"/>
      <c r="AI50" s="1352"/>
      <c r="AJ50" s="1352"/>
      <c r="AK50" s="1352"/>
      <c r="AL50" s="1352"/>
      <c r="AM50" s="295"/>
      <c r="AN50" s="524"/>
      <c r="AO50" s="524"/>
      <c r="AP50" s="524"/>
      <c r="AQ50" s="524"/>
      <c r="AR50" s="524"/>
      <c r="AS50" s="524"/>
      <c r="AT50" s="524"/>
      <c r="AU50" s="524"/>
      <c r="AV50" s="524"/>
      <c r="AW50" s="524"/>
      <c r="AX50" s="524"/>
      <c r="AY50" s="524"/>
      <c r="AZ50" s="524"/>
      <c r="BA50" s="524"/>
      <c r="BB50" s="524"/>
      <c r="BC50" s="524"/>
      <c r="BD50" s="524"/>
    </row>
    <row r="51" spans="1:56" s="6" customFormat="1" ht="2.4500000000000002" customHeight="1">
      <c r="A51" s="475"/>
      <c r="B51" s="1246"/>
      <c r="C51" s="1247"/>
      <c r="D51" s="475"/>
      <c r="E51" s="761"/>
      <c r="F51" s="533"/>
      <c r="G51" s="524"/>
      <c r="H51" s="392"/>
      <c r="I51" s="544"/>
      <c r="J51" s="235"/>
      <c r="K51" s="235"/>
      <c r="L51" s="235"/>
      <c r="M51" s="235"/>
      <c r="N51" s="235"/>
      <c r="O51" s="235"/>
      <c r="P51" s="235"/>
      <c r="Q51" s="235"/>
      <c r="R51" s="235"/>
      <c r="S51" s="235"/>
      <c r="T51" s="235"/>
      <c r="U51" s="235"/>
      <c r="V51" s="667"/>
      <c r="W51" s="248"/>
      <c r="X51" s="325"/>
      <c r="Y51" s="293"/>
      <c r="Z51" s="293"/>
      <c r="AA51" s="298"/>
      <c r="AB51" s="298"/>
      <c r="AC51" s="298"/>
      <c r="AD51" s="298"/>
      <c r="AE51" s="298"/>
      <c r="AF51" s="298"/>
      <c r="AG51" s="298"/>
      <c r="AH51" s="298"/>
      <c r="AI51" s="298"/>
      <c r="AJ51" s="298"/>
      <c r="AK51" s="298"/>
      <c r="AL51" s="298"/>
      <c r="AM51" s="295"/>
      <c r="AN51" s="524"/>
      <c r="AO51" s="524"/>
      <c r="AP51" s="524"/>
      <c r="AQ51" s="524"/>
      <c r="AR51" s="524"/>
      <c r="AS51" s="524"/>
      <c r="AT51" s="524"/>
      <c r="AU51" s="524"/>
      <c r="AV51" s="524"/>
      <c r="AW51" s="524"/>
      <c r="AX51" s="524"/>
      <c r="AY51" s="524"/>
      <c r="AZ51" s="524"/>
      <c r="BA51" s="524"/>
      <c r="BB51" s="524"/>
      <c r="BC51" s="524"/>
      <c r="BD51" s="524"/>
    </row>
    <row r="52" spans="1:56" s="6" customFormat="1" ht="11.85" customHeight="1">
      <c r="A52" s="475"/>
      <c r="B52" s="1246"/>
      <c r="C52" s="1247"/>
      <c r="D52" s="475"/>
      <c r="E52" s="761"/>
      <c r="F52" s="533"/>
      <c r="G52" s="524"/>
      <c r="H52" s="392"/>
      <c r="I52" s="544" t="str">
        <f>""&amp;Kalkulation_Eigenstrom!AP29&amp;""</f>
        <v/>
      </c>
      <c r="J52" s="235"/>
      <c r="K52" s="235"/>
      <c r="L52" s="235"/>
      <c r="M52" s="235"/>
      <c r="N52" s="235"/>
      <c r="O52" s="235"/>
      <c r="P52" s="235"/>
      <c r="Q52" s="1503" t="str">
        <f>IF(ZRB!G49=0,"",ZRB!G49)</f>
        <v/>
      </c>
      <c r="R52" s="1503"/>
      <c r="S52" s="1503"/>
      <c r="T52" s="1503"/>
      <c r="U52" s="1503"/>
      <c r="V52" s="1504"/>
      <c r="W52" s="248"/>
      <c r="X52" s="384"/>
      <c r="Y52" s="401"/>
      <c r="Z52" s="381" t="str">
        <f>Kalkulation_Eigenstrom!X41</f>
        <v>high*</v>
      </c>
      <c r="AA52" s="309">
        <f>Kalkulation_Eigenstrom!Y41</f>
        <v>0</v>
      </c>
      <c r="AB52" s="309">
        <f>Kalkulation_Eigenstrom!Z41</f>
        <v>0</v>
      </c>
      <c r="AC52" s="309">
        <f>Kalkulation_Eigenstrom!AA41</f>
        <v>0</v>
      </c>
      <c r="AD52" s="309">
        <f>Kalkulation_Eigenstrom!AB41</f>
        <v>0</v>
      </c>
      <c r="AE52" s="309">
        <f>Kalkulation_Eigenstrom!AC41</f>
        <v>0</v>
      </c>
      <c r="AF52" s="309">
        <f>Kalkulation_Eigenstrom!AD41</f>
        <v>0</v>
      </c>
      <c r="AG52" s="309">
        <f>Kalkulation_Eigenstrom!AE41</f>
        <v>0</v>
      </c>
      <c r="AH52" s="309">
        <f>Kalkulation_Eigenstrom!AF41</f>
        <v>0</v>
      </c>
      <c r="AI52" s="309">
        <f>Kalkulation_Eigenstrom!AG41</f>
        <v>0</v>
      </c>
      <c r="AJ52" s="309">
        <f>Kalkulation_Eigenstrom!AH41</f>
        <v>0</v>
      </c>
      <c r="AK52" s="309">
        <f>Kalkulation_Eigenstrom!AI41</f>
        <v>0</v>
      </c>
      <c r="AL52" s="309">
        <f>Kalkulation_Eigenstrom!AJ41</f>
        <v>0</v>
      </c>
      <c r="AM52" s="295"/>
      <c r="AN52" s="524"/>
      <c r="AO52" s="524"/>
      <c r="AP52" s="524"/>
      <c r="AQ52" s="524"/>
      <c r="AR52" s="524"/>
      <c r="AS52" s="524"/>
      <c r="AT52" s="524"/>
      <c r="AU52" s="524"/>
      <c r="AV52" s="524"/>
      <c r="AW52" s="524"/>
      <c r="AX52" s="524"/>
      <c r="AY52" s="524"/>
      <c r="AZ52" s="524"/>
      <c r="BA52" s="524"/>
      <c r="BB52" s="524"/>
      <c r="BC52" s="524"/>
      <c r="BD52" s="524"/>
    </row>
    <row r="53" spans="1:56" s="6" customFormat="1" ht="2.4500000000000002" customHeight="1">
      <c r="A53" s="475"/>
      <c r="B53" s="1246"/>
      <c r="C53" s="1247"/>
      <c r="D53" s="475"/>
      <c r="E53" s="761"/>
      <c r="F53" s="533"/>
      <c r="G53" s="524"/>
      <c r="H53" s="392"/>
      <c r="I53" s="544"/>
      <c r="J53" s="235"/>
      <c r="K53" s="235"/>
      <c r="L53" s="235"/>
      <c r="M53" s="235"/>
      <c r="N53" s="235"/>
      <c r="O53" s="235"/>
      <c r="P53" s="235"/>
      <c r="Q53" s="235"/>
      <c r="R53" s="235"/>
      <c r="S53" s="235"/>
      <c r="T53" s="235"/>
      <c r="U53" s="235"/>
      <c r="V53" s="667"/>
      <c r="W53" s="248"/>
      <c r="X53" s="385"/>
      <c r="Y53" s="326"/>
      <c r="Z53" s="326"/>
      <c r="AA53" s="658"/>
      <c r="AB53" s="658"/>
      <c r="AC53" s="658"/>
      <c r="AD53" s="658"/>
      <c r="AE53" s="658"/>
      <c r="AF53" s="658"/>
      <c r="AG53" s="658"/>
      <c r="AH53" s="658"/>
      <c r="AI53" s="658"/>
      <c r="AJ53" s="658"/>
      <c r="AK53" s="658"/>
      <c r="AL53" s="658"/>
      <c r="AM53" s="295"/>
      <c r="AN53" s="524"/>
      <c r="AO53" s="524"/>
      <c r="AP53" s="524"/>
      <c r="AQ53" s="524"/>
      <c r="AR53" s="524"/>
      <c r="AS53" s="524"/>
      <c r="AT53" s="524"/>
      <c r="AU53" s="524"/>
      <c r="AV53" s="524"/>
      <c r="AW53" s="524"/>
      <c r="AX53" s="524"/>
      <c r="AY53" s="524"/>
      <c r="AZ53" s="524"/>
      <c r="BA53" s="524"/>
      <c r="BB53" s="524"/>
      <c r="BC53" s="524"/>
      <c r="BD53" s="524"/>
    </row>
    <row r="54" spans="1:56" s="6" customFormat="1" ht="11.85" customHeight="1">
      <c r="A54" s="475"/>
      <c r="B54" s="1246"/>
      <c r="C54" s="1247"/>
      <c r="D54" s="475"/>
      <c r="E54" s="761"/>
      <c r="F54" s="533"/>
      <c r="G54" s="524"/>
      <c r="H54" s="392"/>
      <c r="I54" s="544" t="str">
        <f>""&amp;Kalkulation_Eigenstrom!AP31&amp;""</f>
        <v/>
      </c>
      <c r="J54" s="235"/>
      <c r="K54" s="235"/>
      <c r="L54" s="235"/>
      <c r="M54" s="235"/>
      <c r="N54" s="235"/>
      <c r="O54" s="235"/>
      <c r="P54" s="235"/>
      <c r="Q54" s="1503" t="str">
        <f>IF(ZRB!G50=0,"",ZRB!G50)</f>
        <v/>
      </c>
      <c r="R54" s="1503"/>
      <c r="S54" s="1503"/>
      <c r="T54" s="1503"/>
      <c r="U54" s="1503"/>
      <c r="V54" s="1504"/>
      <c r="W54" s="248"/>
      <c r="X54" s="386"/>
      <c r="Y54" s="402"/>
      <c r="Z54" s="398" t="str">
        <f>Kalkulation_Eigenstrom!X43</f>
        <v>Æ *</v>
      </c>
      <c r="AA54" s="324">
        <f>Kalkulation_Eigenstrom!Y43</f>
        <v>0</v>
      </c>
      <c r="AB54" s="324">
        <f>Kalkulation_Eigenstrom!Z43</f>
        <v>0</v>
      </c>
      <c r="AC54" s="324">
        <f>Kalkulation_Eigenstrom!AA43</f>
        <v>0</v>
      </c>
      <c r="AD54" s="324">
        <f>Kalkulation_Eigenstrom!AB43</f>
        <v>0</v>
      </c>
      <c r="AE54" s="324">
        <f>Kalkulation_Eigenstrom!AC43</f>
        <v>0</v>
      </c>
      <c r="AF54" s="324">
        <f>Kalkulation_Eigenstrom!AD43</f>
        <v>0</v>
      </c>
      <c r="AG54" s="324">
        <f>Kalkulation_Eigenstrom!AE43</f>
        <v>0</v>
      </c>
      <c r="AH54" s="324">
        <f>Kalkulation_Eigenstrom!AF43</f>
        <v>0</v>
      </c>
      <c r="AI54" s="324">
        <f>Kalkulation_Eigenstrom!AG43</f>
        <v>0</v>
      </c>
      <c r="AJ54" s="324">
        <f>Kalkulation_Eigenstrom!AH43</f>
        <v>0</v>
      </c>
      <c r="AK54" s="324">
        <f>Kalkulation_Eigenstrom!AI43</f>
        <v>0</v>
      </c>
      <c r="AL54" s="324">
        <f>Kalkulation_Eigenstrom!AJ43</f>
        <v>0</v>
      </c>
      <c r="AM54" s="295"/>
      <c r="AN54" s="524"/>
      <c r="AO54" s="524"/>
      <c r="AP54" s="524"/>
      <c r="AQ54" s="524"/>
      <c r="AR54" s="524"/>
      <c r="AS54" s="524"/>
      <c r="AT54" s="524"/>
      <c r="AU54" s="524"/>
      <c r="AV54" s="524"/>
      <c r="AW54" s="524"/>
      <c r="AX54" s="524"/>
      <c r="AY54" s="524"/>
      <c r="AZ54" s="524"/>
      <c r="BA54" s="524"/>
      <c r="BB54" s="524"/>
      <c r="BC54" s="524"/>
      <c r="BD54" s="524"/>
    </row>
    <row r="55" spans="1:56" s="6" customFormat="1" ht="2.4500000000000002" customHeight="1">
      <c r="A55" s="475"/>
      <c r="B55" s="1246"/>
      <c r="C55" s="1247"/>
      <c r="D55" s="475"/>
      <c r="E55" s="761"/>
      <c r="F55" s="533"/>
      <c r="G55" s="524"/>
      <c r="H55" s="392"/>
      <c r="I55" s="544"/>
      <c r="J55" s="235"/>
      <c r="K55" s="235"/>
      <c r="L55" s="235"/>
      <c r="M55" s="235"/>
      <c r="N55" s="235"/>
      <c r="O55" s="235"/>
      <c r="P55" s="235"/>
      <c r="Q55" s="235"/>
      <c r="R55" s="235"/>
      <c r="S55" s="235"/>
      <c r="T55" s="235"/>
      <c r="U55" s="235"/>
      <c r="V55" s="667"/>
      <c r="W55" s="248"/>
      <c r="X55" s="385"/>
      <c r="Y55" s="326"/>
      <c r="Z55" s="326"/>
      <c r="AA55" s="658"/>
      <c r="AB55" s="658"/>
      <c r="AC55" s="658"/>
      <c r="AD55" s="658"/>
      <c r="AE55" s="658"/>
      <c r="AF55" s="658"/>
      <c r="AG55" s="658"/>
      <c r="AH55" s="658"/>
      <c r="AI55" s="658"/>
      <c r="AJ55" s="658"/>
      <c r="AK55" s="658"/>
      <c r="AL55" s="658"/>
      <c r="AM55" s="295"/>
      <c r="AN55" s="524"/>
      <c r="AO55" s="524"/>
      <c r="AP55" s="524"/>
      <c r="AQ55" s="524"/>
      <c r="AR55" s="524"/>
      <c r="AS55" s="524"/>
      <c r="AT55" s="524"/>
      <c r="AU55" s="524"/>
      <c r="AV55" s="524"/>
      <c r="AW55" s="524"/>
      <c r="AX55" s="524"/>
      <c r="AY55" s="524"/>
      <c r="AZ55" s="524"/>
      <c r="BA55" s="524"/>
      <c r="BB55" s="524"/>
      <c r="BC55" s="524"/>
      <c r="BD55" s="524"/>
    </row>
    <row r="56" spans="1:56" s="6" customFormat="1" ht="11.85" customHeight="1">
      <c r="A56" s="475"/>
      <c r="B56" s="1246"/>
      <c r="C56" s="1247"/>
      <c r="D56" s="475"/>
      <c r="E56" s="761"/>
      <c r="F56" s="533"/>
      <c r="G56" s="524"/>
      <c r="H56" s="392"/>
      <c r="I56" s="544" t="str">
        <f>""&amp;Kalkulation_Eigenstrom!AP33&amp;""</f>
        <v/>
      </c>
      <c r="J56" s="235"/>
      <c r="K56" s="235"/>
      <c r="L56" s="235"/>
      <c r="M56" s="235"/>
      <c r="N56" s="235"/>
      <c r="O56" s="235"/>
      <c r="P56" s="235"/>
      <c r="Q56" s="1503" t="str">
        <f>IF(ZRB!G51=0,"",ZRB!G51)</f>
        <v/>
      </c>
      <c r="R56" s="1503"/>
      <c r="S56" s="1503"/>
      <c r="T56" s="1503"/>
      <c r="U56" s="1503"/>
      <c r="V56" s="1504"/>
      <c r="W56" s="248"/>
      <c r="X56" s="384"/>
      <c r="Y56" s="401"/>
      <c r="Z56" s="382" t="str">
        <f>Kalkulation_Eigenstrom!X45</f>
        <v>low*</v>
      </c>
      <c r="AA56" s="310">
        <f>Kalkulation_Eigenstrom!Y45</f>
        <v>0</v>
      </c>
      <c r="AB56" s="310">
        <f>Kalkulation_Eigenstrom!Z45</f>
        <v>0</v>
      </c>
      <c r="AC56" s="310">
        <f>Kalkulation_Eigenstrom!AA45</f>
        <v>0</v>
      </c>
      <c r="AD56" s="310">
        <f>Kalkulation_Eigenstrom!AB45</f>
        <v>0</v>
      </c>
      <c r="AE56" s="310">
        <f>Kalkulation_Eigenstrom!AC45</f>
        <v>0</v>
      </c>
      <c r="AF56" s="310">
        <f>Kalkulation_Eigenstrom!AD45</f>
        <v>0</v>
      </c>
      <c r="AG56" s="310">
        <f>Kalkulation_Eigenstrom!AE45</f>
        <v>0</v>
      </c>
      <c r="AH56" s="310">
        <f>Kalkulation_Eigenstrom!AF45</f>
        <v>0</v>
      </c>
      <c r="AI56" s="310">
        <f>Kalkulation_Eigenstrom!AG45</f>
        <v>0</v>
      </c>
      <c r="AJ56" s="310">
        <f>Kalkulation_Eigenstrom!AH45</f>
        <v>0</v>
      </c>
      <c r="AK56" s="310">
        <f>Kalkulation_Eigenstrom!AI45</f>
        <v>0</v>
      </c>
      <c r="AL56" s="310">
        <f>Kalkulation_Eigenstrom!AJ45</f>
        <v>0</v>
      </c>
      <c r="AM56" s="295"/>
      <c r="AN56" s="524"/>
      <c r="AO56" s="524"/>
      <c r="AP56" s="524"/>
      <c r="AQ56" s="524"/>
      <c r="AR56" s="524"/>
      <c r="AS56" s="524"/>
      <c r="AT56" s="524"/>
      <c r="AU56" s="524"/>
      <c r="AV56" s="524"/>
      <c r="AW56" s="524"/>
      <c r="AX56" s="524"/>
      <c r="AY56" s="524"/>
      <c r="AZ56" s="524"/>
      <c r="BA56" s="524"/>
      <c r="BB56" s="524"/>
      <c r="BC56" s="524"/>
      <c r="BD56" s="524"/>
    </row>
    <row r="57" spans="1:56" s="6" customFormat="1" ht="2.4500000000000002" customHeight="1" thickBot="1">
      <c r="A57" s="475"/>
      <c r="B57" s="1248"/>
      <c r="C57" s="1249"/>
      <c r="D57" s="475"/>
      <c r="E57" s="761"/>
      <c r="F57" s="533"/>
      <c r="G57" s="524"/>
      <c r="H57" s="484"/>
      <c r="I57" s="642"/>
      <c r="J57" s="642"/>
      <c r="K57" s="642"/>
      <c r="L57" s="642"/>
      <c r="M57" s="642"/>
      <c r="N57" s="642"/>
      <c r="O57" s="642"/>
      <c r="P57" s="642"/>
      <c r="Q57" s="485"/>
      <c r="R57" s="485"/>
      <c r="S57" s="485"/>
      <c r="T57" s="485"/>
      <c r="U57" s="485"/>
      <c r="V57" s="643"/>
      <c r="W57" s="248"/>
      <c r="X57" s="385"/>
      <c r="Y57" s="326"/>
      <c r="Z57" s="326"/>
      <c r="AA57" s="293"/>
      <c r="AB57" s="293"/>
      <c r="AC57" s="296"/>
      <c r="AD57" s="296"/>
      <c r="AE57" s="297"/>
      <c r="AF57" s="297"/>
      <c r="AG57" s="297"/>
      <c r="AH57" s="297"/>
      <c r="AI57" s="298"/>
      <c r="AJ57" s="298"/>
      <c r="AK57" s="299"/>
      <c r="AL57" s="299"/>
      <c r="AM57" s="295"/>
      <c r="AN57" s="524"/>
      <c r="AO57" s="524"/>
      <c r="AP57" s="524"/>
      <c r="AQ57" s="524"/>
      <c r="AR57" s="524"/>
      <c r="AS57" s="524"/>
      <c r="AT57" s="524"/>
      <c r="AU57" s="524"/>
      <c r="AV57" s="524"/>
      <c r="AW57" s="524"/>
      <c r="AX57" s="524"/>
      <c r="AY57" s="524"/>
      <c r="AZ57" s="524"/>
      <c r="BA57" s="524"/>
      <c r="BB57" s="524"/>
      <c r="BC57" s="524"/>
      <c r="BD57" s="524"/>
    </row>
    <row r="58" spans="1:56" s="6" customFormat="1" ht="11.85" customHeight="1" thickTop="1">
      <c r="A58" s="475"/>
      <c r="B58" s="477"/>
      <c r="C58" s="476"/>
      <c r="D58" s="475"/>
      <c r="E58" s="761"/>
      <c r="F58" s="533"/>
      <c r="G58" s="524"/>
      <c r="H58" s="639"/>
      <c r="I58" s="639"/>
      <c r="J58" s="639"/>
      <c r="K58" s="639"/>
      <c r="L58" s="639"/>
      <c r="M58" s="639"/>
      <c r="N58" s="639"/>
      <c r="O58" s="639"/>
      <c r="P58" s="639"/>
      <c r="Q58" s="639"/>
      <c r="R58" s="639"/>
      <c r="S58" s="639"/>
      <c r="T58" s="639"/>
      <c r="U58" s="639"/>
      <c r="V58" s="640"/>
      <c r="W58" s="248"/>
      <c r="X58" s="385"/>
      <c r="Y58" s="326"/>
      <c r="Z58" s="326"/>
      <c r="AA58" s="293"/>
      <c r="AB58" s="293"/>
      <c r="AC58" s="296"/>
      <c r="AD58" s="296"/>
      <c r="AE58" s="297"/>
      <c r="AF58" s="297"/>
      <c r="AG58" s="297"/>
      <c r="AH58" s="297"/>
      <c r="AI58" s="298"/>
      <c r="AJ58" s="298"/>
      <c r="AK58" s="299"/>
      <c r="AL58" s="299"/>
      <c r="AM58" s="295"/>
      <c r="AN58" s="524"/>
      <c r="AO58" s="524"/>
      <c r="AP58" s="524"/>
      <c r="AQ58" s="524"/>
      <c r="AR58" s="524"/>
      <c r="AS58" s="524"/>
      <c r="AT58" s="524"/>
      <c r="AU58" s="524"/>
      <c r="AV58" s="524"/>
      <c r="AW58" s="524"/>
      <c r="AX58" s="524"/>
      <c r="AY58" s="524"/>
      <c r="AZ58" s="524"/>
      <c r="BA58" s="524"/>
      <c r="BB58" s="524"/>
      <c r="BC58" s="524"/>
      <c r="BD58" s="524"/>
    </row>
    <row r="59" spans="1:56" s="6" customFormat="1" ht="2.4500000000000002" customHeight="1">
      <c r="A59" s="475"/>
      <c r="B59" s="477"/>
      <c r="C59" s="475"/>
      <c r="D59" s="475"/>
      <c r="E59" s="761"/>
      <c r="F59" s="533"/>
      <c r="G59" s="524"/>
      <c r="H59" s="260"/>
      <c r="I59" s="261"/>
      <c r="J59" s="261"/>
      <c r="K59" s="261"/>
      <c r="L59" s="261"/>
      <c r="M59" s="261"/>
      <c r="N59" s="261"/>
      <c r="O59" s="261"/>
      <c r="P59" s="262"/>
      <c r="Q59" s="262"/>
      <c r="R59" s="262"/>
      <c r="S59" s="262"/>
      <c r="T59" s="262"/>
      <c r="U59" s="262"/>
      <c r="V59" s="263"/>
      <c r="W59" s="248"/>
      <c r="X59" s="385"/>
      <c r="Y59" s="326"/>
      <c r="Z59" s="326"/>
      <c r="AA59" s="293"/>
      <c r="AB59" s="293"/>
      <c r="AC59" s="296"/>
      <c r="AD59" s="296"/>
      <c r="AE59" s="297"/>
      <c r="AF59" s="297"/>
      <c r="AG59" s="297"/>
      <c r="AH59" s="297"/>
      <c r="AI59" s="298"/>
      <c r="AJ59" s="298"/>
      <c r="AK59" s="299"/>
      <c r="AL59" s="299"/>
      <c r="AM59" s="295"/>
      <c r="AN59" s="524"/>
      <c r="AO59" s="524"/>
      <c r="AP59" s="524"/>
      <c r="AQ59" s="524"/>
      <c r="AR59" s="524"/>
      <c r="AS59" s="524"/>
      <c r="AT59" s="524"/>
      <c r="AU59" s="524"/>
      <c r="AV59" s="524"/>
      <c r="AW59" s="524"/>
      <c r="AX59" s="524"/>
      <c r="AY59" s="524"/>
      <c r="AZ59" s="524"/>
      <c r="BA59" s="524"/>
      <c r="BB59" s="524"/>
      <c r="BC59" s="524"/>
      <c r="BD59" s="524"/>
    </row>
    <row r="60" spans="1:56" s="6" customFormat="1" ht="11.85" customHeight="1" thickBot="1">
      <c r="A60" s="475"/>
      <c r="B60" s="477"/>
      <c r="C60" s="476"/>
      <c r="D60" s="475"/>
      <c r="E60" s="761"/>
      <c r="F60" s="533"/>
      <c r="G60" s="524"/>
      <c r="H60" s="1265" t="s">
        <v>465</v>
      </c>
      <c r="I60" s="1266"/>
      <c r="J60" s="1266"/>
      <c r="K60" s="1266"/>
      <c r="L60" s="1266"/>
      <c r="M60" s="1266"/>
      <c r="N60" s="638"/>
      <c r="O60" s="638"/>
      <c r="P60" s="638"/>
      <c r="Q60" s="1583" t="str">
        <f>IF(ZRB!G80=0,"",ZRB!G80)</f>
        <v/>
      </c>
      <c r="R60" s="1583"/>
      <c r="S60" s="1583"/>
      <c r="T60" s="1583"/>
      <c r="U60" s="1583"/>
      <c r="V60" s="1584"/>
      <c r="W60" s="248"/>
      <c r="X60" s="387"/>
      <c r="Y60" s="403" t="str">
        <f>Kalkulation_Eigenstrom!W49</f>
        <v/>
      </c>
      <c r="Z60" s="1361" t="str">
        <f>Kalkulation_Eigenstrom!X49</f>
        <v/>
      </c>
      <c r="AA60" s="1361">
        <f>Kalkulation_Eigenstrom!Y49</f>
        <v>0</v>
      </c>
      <c r="AB60" s="1361">
        <f>Kalkulation_Eigenstrom!Z49</f>
        <v>0</v>
      </c>
      <c r="AC60" s="1361">
        <f>Kalkulation_Eigenstrom!AA49</f>
        <v>0</v>
      </c>
      <c r="AD60" s="1361">
        <f>Kalkulation_Eigenstrom!AB49</f>
        <v>0</v>
      </c>
      <c r="AE60" s="1361">
        <f>Kalkulation_Eigenstrom!AC49</f>
        <v>0</v>
      </c>
      <c r="AF60" s="1361">
        <f>Kalkulation_Eigenstrom!AD49</f>
        <v>0</v>
      </c>
      <c r="AG60" s="1361">
        <f>Kalkulation_Eigenstrom!AE49</f>
        <v>0</v>
      </c>
      <c r="AH60" s="1361">
        <f>Kalkulation_Eigenstrom!AF49</f>
        <v>0</v>
      </c>
      <c r="AI60" s="1361">
        <f>Kalkulation_Eigenstrom!AG49</f>
        <v>0</v>
      </c>
      <c r="AJ60" s="1361">
        <f>Kalkulation_Eigenstrom!AH49</f>
        <v>0</v>
      </c>
      <c r="AK60" s="1361">
        <f>Kalkulation_Eigenstrom!AI49</f>
        <v>0</v>
      </c>
      <c r="AL60" s="1361">
        <f>Kalkulation_Eigenstrom!AJ49</f>
        <v>0</v>
      </c>
      <c r="AM60" s="1362">
        <f>Kalkulation_Eigenstrom!AK49</f>
        <v>0</v>
      </c>
      <c r="AN60" s="524"/>
      <c r="AO60" s="524"/>
      <c r="AP60" s="524"/>
      <c r="AQ60" s="524"/>
      <c r="AR60" s="524"/>
      <c r="AS60" s="524"/>
      <c r="AT60" s="524"/>
      <c r="AU60" s="524"/>
      <c r="AV60" s="524"/>
      <c r="AW60" s="524"/>
      <c r="AX60" s="524"/>
      <c r="AY60" s="524"/>
      <c r="AZ60" s="524"/>
      <c r="BA60" s="524"/>
      <c r="BB60" s="524"/>
      <c r="BC60" s="524"/>
      <c r="BD60" s="524"/>
    </row>
    <row r="61" spans="1:56" s="6" customFormat="1" ht="2.4500000000000002" customHeight="1" thickTop="1">
      <c r="A61" s="475"/>
      <c r="B61" s="1407" t="s">
        <v>360</v>
      </c>
      <c r="C61" s="1408"/>
      <c r="D61" s="475"/>
      <c r="E61" s="761"/>
      <c r="F61" s="533"/>
      <c r="G61" s="524"/>
      <c r="H61" s="1265"/>
      <c r="I61" s="1266"/>
      <c r="J61" s="1266"/>
      <c r="K61" s="1266"/>
      <c r="L61" s="1266"/>
      <c r="M61" s="1266"/>
      <c r="N61" s="638"/>
      <c r="O61" s="638"/>
      <c r="P61" s="638"/>
      <c r="Q61" s="1583"/>
      <c r="R61" s="1583"/>
      <c r="S61" s="1583"/>
      <c r="T61" s="1583"/>
      <c r="U61" s="1583"/>
      <c r="V61" s="1584"/>
      <c r="W61" s="248"/>
      <c r="X61" s="388"/>
      <c r="Y61" s="404"/>
      <c r="Z61" s="1361">
        <f>Kalkulation_Eigenstrom!X50</f>
        <v>0</v>
      </c>
      <c r="AA61" s="1361">
        <f>Kalkulation_Eigenstrom!Y50</f>
        <v>0</v>
      </c>
      <c r="AB61" s="1361">
        <f>Kalkulation_Eigenstrom!Z50</f>
        <v>0</v>
      </c>
      <c r="AC61" s="1361">
        <f>Kalkulation_Eigenstrom!AA50</f>
        <v>0</v>
      </c>
      <c r="AD61" s="1361">
        <f>Kalkulation_Eigenstrom!AB50</f>
        <v>0</v>
      </c>
      <c r="AE61" s="1361">
        <f>Kalkulation_Eigenstrom!AC50</f>
        <v>0</v>
      </c>
      <c r="AF61" s="1361">
        <f>Kalkulation_Eigenstrom!AD50</f>
        <v>0</v>
      </c>
      <c r="AG61" s="1361">
        <f>Kalkulation_Eigenstrom!AE50</f>
        <v>0</v>
      </c>
      <c r="AH61" s="1361">
        <f>Kalkulation_Eigenstrom!AF50</f>
        <v>0</v>
      </c>
      <c r="AI61" s="1361">
        <f>Kalkulation_Eigenstrom!AG50</f>
        <v>0</v>
      </c>
      <c r="AJ61" s="1361">
        <f>Kalkulation_Eigenstrom!AH50</f>
        <v>0</v>
      </c>
      <c r="AK61" s="1361">
        <f>Kalkulation_Eigenstrom!AI50</f>
        <v>0</v>
      </c>
      <c r="AL61" s="1361">
        <f>Kalkulation_Eigenstrom!AJ50</f>
        <v>0</v>
      </c>
      <c r="AM61" s="1362">
        <f>Kalkulation_Eigenstrom!AK50</f>
        <v>0</v>
      </c>
      <c r="AN61" s="524"/>
      <c r="AO61" s="524"/>
      <c r="AP61" s="524"/>
      <c r="AQ61" s="524"/>
      <c r="AR61" s="524"/>
      <c r="AS61" s="524"/>
      <c r="AT61" s="524"/>
      <c r="AU61" s="524"/>
      <c r="AV61" s="524"/>
      <c r="AW61" s="524"/>
      <c r="AX61" s="524"/>
      <c r="AY61" s="524"/>
      <c r="AZ61" s="524"/>
      <c r="BA61" s="524"/>
      <c r="BB61" s="524"/>
      <c r="BC61" s="524"/>
      <c r="BD61" s="524"/>
    </row>
    <row r="62" spans="1:56" s="6" customFormat="1" ht="11.85" customHeight="1">
      <c r="A62" s="475"/>
      <c r="B62" s="1409"/>
      <c r="C62" s="1410"/>
      <c r="D62" s="475"/>
      <c r="E62" s="761"/>
      <c r="F62" s="533"/>
      <c r="G62" s="524"/>
      <c r="H62" s="1265"/>
      <c r="I62" s="1266"/>
      <c r="J62" s="1266"/>
      <c r="K62" s="1266"/>
      <c r="L62" s="1266"/>
      <c r="M62" s="1266"/>
      <c r="N62" s="638"/>
      <c r="O62" s="638"/>
      <c r="P62" s="638"/>
      <c r="Q62" s="1583"/>
      <c r="R62" s="1583"/>
      <c r="S62" s="1583"/>
      <c r="T62" s="1583"/>
      <c r="U62" s="1583"/>
      <c r="V62" s="1584"/>
      <c r="W62" s="248"/>
      <c r="X62" s="389"/>
      <c r="Y62" s="290"/>
      <c r="Z62" s="1361" t="str">
        <f>Kalkulation_Eigenstrom!X51</f>
        <v/>
      </c>
      <c r="AA62" s="1361">
        <f>Kalkulation_Eigenstrom!Y51</f>
        <v>0</v>
      </c>
      <c r="AB62" s="1361">
        <f>Kalkulation_Eigenstrom!Z51</f>
        <v>0</v>
      </c>
      <c r="AC62" s="1361">
        <f>Kalkulation_Eigenstrom!AA51</f>
        <v>0</v>
      </c>
      <c r="AD62" s="1361">
        <f>Kalkulation_Eigenstrom!AB51</f>
        <v>0</v>
      </c>
      <c r="AE62" s="1361">
        <f>Kalkulation_Eigenstrom!AC51</f>
        <v>0</v>
      </c>
      <c r="AF62" s="1361">
        <f>Kalkulation_Eigenstrom!AD51</f>
        <v>0</v>
      </c>
      <c r="AG62" s="1361">
        <f>Kalkulation_Eigenstrom!AE51</f>
        <v>0</v>
      </c>
      <c r="AH62" s="1361">
        <f>Kalkulation_Eigenstrom!AF51</f>
        <v>0</v>
      </c>
      <c r="AI62" s="1361">
        <f>Kalkulation_Eigenstrom!AG51</f>
        <v>0</v>
      </c>
      <c r="AJ62" s="1361">
        <f>Kalkulation_Eigenstrom!AH51</f>
        <v>0</v>
      </c>
      <c r="AK62" s="1361">
        <f>Kalkulation_Eigenstrom!AI51</f>
        <v>0</v>
      </c>
      <c r="AL62" s="1361">
        <f>Kalkulation_Eigenstrom!AJ51</f>
        <v>0</v>
      </c>
      <c r="AM62" s="1362">
        <f>Kalkulation_Eigenstrom!AK51</f>
        <v>0</v>
      </c>
      <c r="AN62" s="524"/>
      <c r="AO62" s="524"/>
      <c r="AP62" s="524"/>
      <c r="AQ62" s="524"/>
      <c r="AR62" s="524"/>
      <c r="AS62" s="524"/>
      <c r="AT62" s="524"/>
      <c r="AU62" s="524"/>
      <c r="AV62" s="524"/>
      <c r="AW62" s="524"/>
      <c r="AX62" s="524"/>
      <c r="AY62" s="524"/>
      <c r="AZ62" s="524"/>
      <c r="BA62" s="524"/>
      <c r="BB62" s="524"/>
      <c r="BC62" s="524"/>
      <c r="BD62" s="524"/>
    </row>
    <row r="63" spans="1:56" s="6" customFormat="1" ht="2.4500000000000002" customHeight="1">
      <c r="A63" s="475"/>
      <c r="B63" s="1409"/>
      <c r="C63" s="1410"/>
      <c r="D63" s="475"/>
      <c r="E63" s="761"/>
      <c r="F63" s="533"/>
      <c r="G63" s="524"/>
      <c r="H63" s="392"/>
      <c r="I63" s="1516" t="s">
        <v>308</v>
      </c>
      <c r="J63" s="1516"/>
      <c r="K63" s="1516"/>
      <c r="L63" s="1516"/>
      <c r="M63" s="1516"/>
      <c r="N63" s="1516"/>
      <c r="O63" s="1516"/>
      <c r="P63" s="1516"/>
      <c r="Q63" s="1516"/>
      <c r="R63" s="237"/>
      <c r="S63" s="237"/>
      <c r="T63" s="237"/>
      <c r="U63" s="237"/>
      <c r="V63" s="264"/>
      <c r="W63" s="149"/>
      <c r="X63" s="388"/>
      <c r="Y63" s="404"/>
      <c r="Z63" s="1361">
        <f>Kalkulation_Eigenstrom!X52</f>
        <v>0</v>
      </c>
      <c r="AA63" s="1361">
        <f>Kalkulation_Eigenstrom!Y52</f>
        <v>0</v>
      </c>
      <c r="AB63" s="1361">
        <f>Kalkulation_Eigenstrom!Z52</f>
        <v>0</v>
      </c>
      <c r="AC63" s="1361">
        <f>Kalkulation_Eigenstrom!AA52</f>
        <v>0</v>
      </c>
      <c r="AD63" s="1361">
        <f>Kalkulation_Eigenstrom!AB52</f>
        <v>0</v>
      </c>
      <c r="AE63" s="1361">
        <f>Kalkulation_Eigenstrom!AC52</f>
        <v>0</v>
      </c>
      <c r="AF63" s="1361">
        <f>Kalkulation_Eigenstrom!AD52</f>
        <v>0</v>
      </c>
      <c r="AG63" s="1361">
        <f>Kalkulation_Eigenstrom!AE52</f>
        <v>0</v>
      </c>
      <c r="AH63" s="1361">
        <f>Kalkulation_Eigenstrom!AF52</f>
        <v>0</v>
      </c>
      <c r="AI63" s="1361">
        <f>Kalkulation_Eigenstrom!AG52</f>
        <v>0</v>
      </c>
      <c r="AJ63" s="1361">
        <f>Kalkulation_Eigenstrom!AH52</f>
        <v>0</v>
      </c>
      <c r="AK63" s="1361">
        <f>Kalkulation_Eigenstrom!AI52</f>
        <v>0</v>
      </c>
      <c r="AL63" s="1361">
        <f>Kalkulation_Eigenstrom!AJ52</f>
        <v>0</v>
      </c>
      <c r="AM63" s="1362">
        <f>Kalkulation_Eigenstrom!AK52</f>
        <v>0</v>
      </c>
      <c r="AN63" s="524"/>
      <c r="AO63" s="524"/>
      <c r="AP63" s="524"/>
      <c r="AQ63" s="524"/>
      <c r="AR63" s="524"/>
      <c r="AS63" s="524"/>
      <c r="AT63" s="524"/>
      <c r="AU63" s="524"/>
      <c r="AV63" s="524"/>
      <c r="AW63" s="524"/>
      <c r="AX63" s="524"/>
      <c r="AY63" s="524"/>
      <c r="AZ63" s="524"/>
      <c r="BA63" s="524"/>
      <c r="BB63" s="524"/>
      <c r="BC63" s="524"/>
      <c r="BD63" s="524"/>
    </row>
    <row r="64" spans="1:56" s="6" customFormat="1" ht="11.85" customHeight="1">
      <c r="A64" s="475"/>
      <c r="B64" s="1409"/>
      <c r="C64" s="1410"/>
      <c r="D64" s="475"/>
      <c r="E64" s="761"/>
      <c r="F64" s="533"/>
      <c r="G64" s="524"/>
      <c r="H64" s="392"/>
      <c r="I64" s="1516"/>
      <c r="J64" s="1516"/>
      <c r="K64" s="1516"/>
      <c r="L64" s="1516"/>
      <c r="M64" s="1516"/>
      <c r="N64" s="1516"/>
      <c r="O64" s="1516"/>
      <c r="P64" s="1516"/>
      <c r="Q64" s="1516"/>
      <c r="R64" s="1619" t="s">
        <v>6</v>
      </c>
      <c r="S64" s="1619"/>
      <c r="T64" s="677"/>
      <c r="U64" s="677"/>
      <c r="V64" s="678"/>
      <c r="W64" s="149"/>
      <c r="X64" s="389"/>
      <c r="Y64" s="290"/>
      <c r="Z64" s="1374" t="str">
        <f>Kalkulation_Eigenstrom!X53</f>
        <v/>
      </c>
      <c r="AA64" s="1374">
        <f>Kalkulation_Eigenstrom!Y53</f>
        <v>0</v>
      </c>
      <c r="AB64" s="1374">
        <f>Kalkulation_Eigenstrom!Z53</f>
        <v>0</v>
      </c>
      <c r="AC64" s="1374">
        <f>Kalkulation_Eigenstrom!AA53</f>
        <v>0</v>
      </c>
      <c r="AD64" s="1374">
        <f>Kalkulation_Eigenstrom!AB53</f>
        <v>0</v>
      </c>
      <c r="AE64" s="1374">
        <f>Kalkulation_Eigenstrom!AC53</f>
        <v>0</v>
      </c>
      <c r="AF64" s="1374">
        <f>Kalkulation_Eigenstrom!AD53</f>
        <v>0</v>
      </c>
      <c r="AG64" s="1374">
        <f>Kalkulation_Eigenstrom!AE53</f>
        <v>0</v>
      </c>
      <c r="AH64" s="1374">
        <f>Kalkulation_Eigenstrom!AF53</f>
        <v>0</v>
      </c>
      <c r="AI64" s="1374">
        <f>Kalkulation_Eigenstrom!AG53</f>
        <v>0</v>
      </c>
      <c r="AJ64" s="1374">
        <f>Kalkulation_Eigenstrom!AH53</f>
        <v>0</v>
      </c>
      <c r="AK64" s="1374">
        <f>Kalkulation_Eigenstrom!AI53</f>
        <v>0</v>
      </c>
      <c r="AL64" s="1374">
        <f>Kalkulation_Eigenstrom!AJ53</f>
        <v>0</v>
      </c>
      <c r="AM64" s="1375">
        <f>Kalkulation_Eigenstrom!AK53</f>
        <v>0</v>
      </c>
      <c r="AN64" s="524"/>
      <c r="AO64" s="524"/>
      <c r="AP64" s="524"/>
      <c r="AQ64" s="524"/>
      <c r="AR64" s="524"/>
      <c r="AS64" s="524"/>
      <c r="AT64" s="524"/>
      <c r="AU64" s="524"/>
      <c r="AV64" s="524"/>
      <c r="AW64" s="524"/>
      <c r="AX64" s="524"/>
      <c r="AY64" s="524"/>
      <c r="AZ64" s="524"/>
      <c r="BA64" s="524"/>
      <c r="BB64" s="524"/>
      <c r="BC64" s="524"/>
      <c r="BD64" s="524"/>
    </row>
    <row r="65" spans="1:56" s="6" customFormat="1" ht="2.4500000000000002" customHeight="1" thickBot="1">
      <c r="A65" s="475"/>
      <c r="B65" s="1440" t="s">
        <v>356</v>
      </c>
      <c r="C65" s="1441"/>
      <c r="D65" s="475"/>
      <c r="E65" s="761"/>
      <c r="F65" s="533"/>
      <c r="G65" s="524"/>
      <c r="H65" s="392"/>
      <c r="I65" s="235"/>
      <c r="J65" s="235"/>
      <c r="K65" s="235"/>
      <c r="L65" s="235"/>
      <c r="M65" s="235"/>
      <c r="N65" s="235"/>
      <c r="O65" s="235"/>
      <c r="P65" s="235"/>
      <c r="Q65" s="235"/>
      <c r="R65" s="234"/>
      <c r="S65" s="234"/>
      <c r="T65" s="235"/>
      <c r="U65" s="235"/>
      <c r="V65" s="667"/>
      <c r="W65" s="149"/>
      <c r="X65" s="388"/>
      <c r="Y65" s="404"/>
      <c r="Z65" s="1374">
        <f>Kalkulation_Eigenstrom!X54</f>
        <v>0</v>
      </c>
      <c r="AA65" s="1374">
        <f>Kalkulation_Eigenstrom!Y54</f>
        <v>0</v>
      </c>
      <c r="AB65" s="1374">
        <f>Kalkulation_Eigenstrom!Z54</f>
        <v>0</v>
      </c>
      <c r="AC65" s="1374">
        <f>Kalkulation_Eigenstrom!AA54</f>
        <v>0</v>
      </c>
      <c r="AD65" s="1374">
        <f>Kalkulation_Eigenstrom!AB54</f>
        <v>0</v>
      </c>
      <c r="AE65" s="1374">
        <f>Kalkulation_Eigenstrom!AC54</f>
        <v>0</v>
      </c>
      <c r="AF65" s="1374">
        <f>Kalkulation_Eigenstrom!AD54</f>
        <v>0</v>
      </c>
      <c r="AG65" s="1374">
        <f>Kalkulation_Eigenstrom!AE54</f>
        <v>0</v>
      </c>
      <c r="AH65" s="1374">
        <f>Kalkulation_Eigenstrom!AF54</f>
        <v>0</v>
      </c>
      <c r="AI65" s="1374">
        <f>Kalkulation_Eigenstrom!AG54</f>
        <v>0</v>
      </c>
      <c r="AJ65" s="1374">
        <f>Kalkulation_Eigenstrom!AH54</f>
        <v>0</v>
      </c>
      <c r="AK65" s="1374">
        <f>Kalkulation_Eigenstrom!AI54</f>
        <v>0</v>
      </c>
      <c r="AL65" s="1374">
        <f>Kalkulation_Eigenstrom!AJ54</f>
        <v>0</v>
      </c>
      <c r="AM65" s="1375">
        <f>Kalkulation_Eigenstrom!AK54</f>
        <v>0</v>
      </c>
      <c r="AN65" s="524"/>
      <c r="AO65" s="524"/>
      <c r="AP65" s="524"/>
      <c r="AQ65" s="524"/>
      <c r="AR65" s="524"/>
      <c r="AS65" s="524"/>
      <c r="AT65" s="524"/>
      <c r="AU65" s="524"/>
      <c r="AV65" s="524"/>
      <c r="AW65" s="524"/>
      <c r="AX65" s="524"/>
      <c r="AY65" s="524"/>
      <c r="AZ65" s="524"/>
      <c r="BA65" s="524"/>
      <c r="BB65" s="524"/>
      <c r="BC65" s="524"/>
      <c r="BD65" s="524"/>
    </row>
    <row r="66" spans="1:56" s="6" customFormat="1" ht="11.85" customHeight="1" thickTop="1">
      <c r="A66" s="475"/>
      <c r="B66" s="477"/>
      <c r="C66" s="476"/>
      <c r="D66" s="475"/>
      <c r="E66" s="761"/>
      <c r="F66" s="533"/>
      <c r="G66" s="524"/>
      <c r="H66" s="392"/>
      <c r="I66" s="668" t="str">
        <f>""&amp;Kalkulation_Eigenstrom!AP43&amp;""</f>
        <v>AfA: PV-Anlage (Module, AC &amp; DC-Kabel, etc.)</v>
      </c>
      <c r="J66" s="235"/>
      <c r="K66" s="235"/>
      <c r="L66" s="235"/>
      <c r="M66" s="235"/>
      <c r="N66" s="235"/>
      <c r="O66" s="235"/>
      <c r="P66" s="235"/>
      <c r="Q66" s="688"/>
      <c r="R66" s="1505">
        <f>IF(ZRB!F43=0,"",ZRB!F43)</f>
        <v>20</v>
      </c>
      <c r="S66" s="1505"/>
      <c r="T66" s="1503" t="str">
        <f>IF(ZRB!G43=0,"",ZRB!G43)</f>
        <v/>
      </c>
      <c r="U66" s="1503"/>
      <c r="V66" s="1504"/>
      <c r="W66" s="149"/>
      <c r="X66" s="389"/>
      <c r="Y66" s="290"/>
      <c r="Z66" s="1442" t="str">
        <f>Kalkulation_Eigenstrom!X55</f>
        <v/>
      </c>
      <c r="AA66" s="1442">
        <f>Kalkulation_Eigenstrom!Y55</f>
        <v>0</v>
      </c>
      <c r="AB66" s="1442">
        <f>Kalkulation_Eigenstrom!Z55</f>
        <v>0</v>
      </c>
      <c r="AC66" s="1442">
        <f>Kalkulation_Eigenstrom!AA55</f>
        <v>0</v>
      </c>
      <c r="AD66" s="1442">
        <f>Kalkulation_Eigenstrom!AB55</f>
        <v>0</v>
      </c>
      <c r="AE66" s="1442">
        <f>Kalkulation_Eigenstrom!AC55</f>
        <v>0</v>
      </c>
      <c r="AF66" s="1442">
        <f>Kalkulation_Eigenstrom!AD55</f>
        <v>0</v>
      </c>
      <c r="AG66" s="1442">
        <f>Kalkulation_Eigenstrom!AE55</f>
        <v>0</v>
      </c>
      <c r="AH66" s="1442">
        <f>Kalkulation_Eigenstrom!AF55</f>
        <v>0</v>
      </c>
      <c r="AI66" s="1442">
        <f>Kalkulation_Eigenstrom!AG55</f>
        <v>0</v>
      </c>
      <c r="AJ66" s="1442">
        <f>Kalkulation_Eigenstrom!AH55</f>
        <v>0</v>
      </c>
      <c r="AK66" s="1442">
        <f>Kalkulation_Eigenstrom!AI55</f>
        <v>0</v>
      </c>
      <c r="AL66" s="1442">
        <f>Kalkulation_Eigenstrom!AJ55</f>
        <v>0</v>
      </c>
      <c r="AM66" s="1443">
        <f>Kalkulation_Eigenstrom!AK55</f>
        <v>0</v>
      </c>
      <c r="AN66" s="524"/>
      <c r="AO66" s="524"/>
      <c r="AP66" s="524"/>
      <c r="AQ66" s="524"/>
      <c r="AR66" s="524"/>
      <c r="AS66" s="524"/>
      <c r="AT66" s="524"/>
      <c r="AU66" s="524"/>
      <c r="AV66" s="524"/>
      <c r="AW66" s="524"/>
      <c r="AX66" s="524"/>
      <c r="AY66" s="524"/>
      <c r="AZ66" s="524"/>
      <c r="BA66" s="524"/>
      <c r="BB66" s="524"/>
      <c r="BC66" s="524"/>
      <c r="BD66" s="524"/>
    </row>
    <row r="67" spans="1:56" s="6" customFormat="1" ht="2.4500000000000002" customHeight="1">
      <c r="A67" s="475"/>
      <c r="B67" s="475"/>
      <c r="C67" s="475"/>
      <c r="D67" s="475"/>
      <c r="E67" s="761"/>
      <c r="F67" s="533"/>
      <c r="G67" s="524"/>
      <c r="H67" s="392"/>
      <c r="I67" s="669"/>
      <c r="J67" s="235"/>
      <c r="K67" s="235"/>
      <c r="L67" s="235"/>
      <c r="M67" s="235"/>
      <c r="N67" s="235"/>
      <c r="O67" s="235"/>
      <c r="P67" s="235"/>
      <c r="Q67" s="235"/>
      <c r="R67" s="234"/>
      <c r="S67" s="234"/>
      <c r="T67" s="235"/>
      <c r="U67" s="235"/>
      <c r="V67" s="667"/>
      <c r="W67" s="149"/>
      <c r="X67" s="390"/>
      <c r="Y67" s="291"/>
      <c r="Z67" s="1444">
        <f>Kalkulation_Eigenstrom!X56</f>
        <v>0</v>
      </c>
      <c r="AA67" s="1444">
        <f>Kalkulation_Eigenstrom!Y56</f>
        <v>0</v>
      </c>
      <c r="AB67" s="1444">
        <f>Kalkulation_Eigenstrom!Z56</f>
        <v>0</v>
      </c>
      <c r="AC67" s="1444">
        <f>Kalkulation_Eigenstrom!AA56</f>
        <v>0</v>
      </c>
      <c r="AD67" s="1444">
        <f>Kalkulation_Eigenstrom!AB56</f>
        <v>0</v>
      </c>
      <c r="AE67" s="1444">
        <f>Kalkulation_Eigenstrom!AC56</f>
        <v>0</v>
      </c>
      <c r="AF67" s="1444">
        <f>Kalkulation_Eigenstrom!AD56</f>
        <v>0</v>
      </c>
      <c r="AG67" s="1444">
        <f>Kalkulation_Eigenstrom!AE56</f>
        <v>0</v>
      </c>
      <c r="AH67" s="1444">
        <f>Kalkulation_Eigenstrom!AF56</f>
        <v>0</v>
      </c>
      <c r="AI67" s="1444">
        <f>Kalkulation_Eigenstrom!AG56</f>
        <v>0</v>
      </c>
      <c r="AJ67" s="1444">
        <f>Kalkulation_Eigenstrom!AH56</f>
        <v>0</v>
      </c>
      <c r="AK67" s="1444">
        <f>Kalkulation_Eigenstrom!AI56</f>
        <v>0</v>
      </c>
      <c r="AL67" s="1444">
        <f>Kalkulation_Eigenstrom!AJ56</f>
        <v>0</v>
      </c>
      <c r="AM67" s="1445">
        <f>Kalkulation_Eigenstrom!AK56</f>
        <v>0</v>
      </c>
      <c r="AN67" s="524"/>
      <c r="AO67" s="524"/>
      <c r="AP67" s="524"/>
      <c r="AQ67" s="524"/>
      <c r="AR67" s="524"/>
      <c r="AS67" s="524"/>
      <c r="AT67" s="524"/>
      <c r="AU67" s="524"/>
      <c r="AV67" s="524"/>
      <c r="AW67" s="524"/>
      <c r="AX67" s="524"/>
      <c r="AY67" s="524"/>
      <c r="AZ67" s="524"/>
      <c r="BA67" s="524"/>
      <c r="BB67" s="524"/>
      <c r="BC67" s="524"/>
      <c r="BD67" s="524"/>
    </row>
    <row r="68" spans="1:56" s="6" customFormat="1" ht="11.85" customHeight="1">
      <c r="A68" s="475"/>
      <c r="B68" s="475"/>
      <c r="C68" s="475"/>
      <c r="D68" s="475"/>
      <c r="E68" s="761"/>
      <c r="F68" s="533"/>
      <c r="G68" s="524"/>
      <c r="H68" s="392"/>
      <c r="I68" s="668" t="str">
        <f>""&amp;Kalkulation_Eigenstrom!AP45&amp;""</f>
        <v>AfA: Wechselrichter</v>
      </c>
      <c r="J68" s="235"/>
      <c r="K68" s="235"/>
      <c r="L68" s="235"/>
      <c r="M68" s="235"/>
      <c r="N68" s="235"/>
      <c r="O68" s="235"/>
      <c r="P68" s="235"/>
      <c r="Q68" s="688"/>
      <c r="R68" s="1505">
        <f>IF(ZRB!F44=0,"",ZRB!F44)</f>
        <v>10</v>
      </c>
      <c r="S68" s="1505"/>
      <c r="T68" s="1503" t="str">
        <f>IF(ZRB!G44=0,"",ZRB!G44)</f>
        <v/>
      </c>
      <c r="U68" s="1503"/>
      <c r="V68" s="1504"/>
      <c r="W68" s="149"/>
      <c r="X68" s="248"/>
      <c r="Y68" s="248"/>
      <c r="Z68" s="248"/>
      <c r="AA68" s="248"/>
      <c r="AB68" s="248"/>
      <c r="AC68" s="248"/>
      <c r="AD68" s="248"/>
      <c r="AE68" s="248"/>
      <c r="AF68" s="248"/>
      <c r="AG68" s="248"/>
      <c r="AH68" s="248"/>
      <c r="AI68" s="248"/>
      <c r="AJ68" s="248"/>
      <c r="AK68" s="248"/>
      <c r="AL68" s="248"/>
      <c r="AM68" s="248"/>
      <c r="AN68" s="524"/>
      <c r="AO68" s="524"/>
      <c r="AP68" s="524"/>
      <c r="AQ68" s="524"/>
      <c r="AR68" s="524"/>
      <c r="AS68" s="524"/>
      <c r="AT68" s="524"/>
      <c r="AU68" s="524"/>
      <c r="AV68" s="524"/>
      <c r="AW68" s="524"/>
      <c r="AX68" s="524"/>
      <c r="AY68" s="524"/>
      <c r="AZ68" s="524"/>
      <c r="BA68" s="524"/>
      <c r="BB68" s="524"/>
      <c r="BC68" s="524"/>
      <c r="BD68" s="524"/>
    </row>
    <row r="69" spans="1:56" s="6" customFormat="1" ht="2.4500000000000002" customHeight="1">
      <c r="A69" s="475"/>
      <c r="B69" s="475"/>
      <c r="C69" s="475"/>
      <c r="D69" s="475"/>
      <c r="E69" s="761"/>
      <c r="F69" s="533"/>
      <c r="G69" s="524"/>
      <c r="H69" s="392"/>
      <c r="I69" s="669"/>
      <c r="J69" s="235"/>
      <c r="K69" s="235"/>
      <c r="L69" s="235"/>
      <c r="M69" s="235"/>
      <c r="N69" s="235"/>
      <c r="O69" s="235"/>
      <c r="P69" s="235"/>
      <c r="Q69" s="235"/>
      <c r="R69" s="234"/>
      <c r="S69" s="234"/>
      <c r="T69" s="235"/>
      <c r="U69" s="235"/>
      <c r="V69" s="667"/>
      <c r="W69" s="149"/>
      <c r="X69" s="558"/>
      <c r="Y69" s="559"/>
      <c r="Z69" s="559"/>
      <c r="AA69" s="559"/>
      <c r="AB69" s="559"/>
      <c r="AC69" s="559"/>
      <c r="AD69" s="560"/>
      <c r="AE69" s="560"/>
      <c r="AF69" s="560"/>
      <c r="AG69" s="560"/>
      <c r="AH69" s="560"/>
      <c r="AI69" s="560"/>
      <c r="AJ69" s="560"/>
      <c r="AK69" s="560"/>
      <c r="AL69" s="560"/>
      <c r="AM69" s="561"/>
      <c r="AN69" s="524"/>
      <c r="AO69" s="524"/>
      <c r="AP69" s="524"/>
      <c r="AQ69" s="524"/>
      <c r="AR69" s="524"/>
      <c r="AS69" s="524"/>
      <c r="AT69" s="524"/>
      <c r="AU69" s="524"/>
      <c r="AV69" s="524"/>
      <c r="AW69" s="524"/>
      <c r="AX69" s="524"/>
      <c r="AY69" s="524"/>
      <c r="AZ69" s="524"/>
      <c r="BA69" s="524"/>
      <c r="BB69" s="524"/>
      <c r="BC69" s="524"/>
      <c r="BD69" s="524"/>
    </row>
    <row r="70" spans="1:56" s="6" customFormat="1" ht="11.85" customHeight="1">
      <c r="A70" s="1398" t="s">
        <v>332</v>
      </c>
      <c r="B70" s="1398"/>
      <c r="C70" s="1398"/>
      <c r="D70" s="1398"/>
      <c r="E70" s="761"/>
      <c r="F70" s="533"/>
      <c r="G70" s="524"/>
      <c r="H70" s="392"/>
      <c r="I70" s="668" t="str">
        <f>""&amp;Kalkulation_Eigenstrom!AP47&amp;""</f>
        <v>AfA: Unterkonstruktion / Montagegestell</v>
      </c>
      <c r="J70" s="235"/>
      <c r="K70" s="235"/>
      <c r="L70" s="235"/>
      <c r="M70" s="235"/>
      <c r="N70" s="235"/>
      <c r="O70" s="235"/>
      <c r="P70" s="235"/>
      <c r="Q70" s="688"/>
      <c r="R70" s="1505">
        <f>IF(ZRB!F45=0,"",ZRB!F45)</f>
        <v>50</v>
      </c>
      <c r="S70" s="1505"/>
      <c r="T70" s="1503" t="str">
        <f>IF(ZRB!G45=0,"",ZRB!G45)</f>
        <v/>
      </c>
      <c r="U70" s="1503"/>
      <c r="V70" s="1504"/>
      <c r="W70" s="149"/>
      <c r="X70" s="1241" t="str">
        <f>IF(Kalkulation_Eigenstrom!$AN$13=1,"","Kosten des Eigenstromverbrauchs gesamt ( "&amp;ROUND(ZRB!G31,0)&amp;" kWh; "&amp;ROUND(ZRB!I31*100,2)&amp;"% )")</f>
        <v>Kosten des Eigenstromverbrauchs gesamt ( 0 kWh; 0% )</v>
      </c>
      <c r="Y70" s="1242"/>
      <c r="Z70" s="1242"/>
      <c r="AA70" s="1242"/>
      <c r="AB70" s="1242"/>
      <c r="AC70" s="1242"/>
      <c r="AD70" s="1242"/>
      <c r="AE70" s="1242"/>
      <c r="AF70" s="1242"/>
      <c r="AG70" s="1242"/>
      <c r="AH70" s="1242"/>
      <c r="AI70" s="1242"/>
      <c r="AJ70" s="1242"/>
      <c r="AK70" s="1242"/>
      <c r="AL70" s="1242"/>
      <c r="AM70" s="1277"/>
      <c r="AN70" s="524"/>
      <c r="AO70" s="524"/>
      <c r="AP70" s="524"/>
      <c r="AQ70" s="524"/>
      <c r="AR70" s="524"/>
      <c r="AS70" s="524"/>
      <c r="AT70" s="524"/>
      <c r="AU70" s="524"/>
      <c r="AV70" s="524"/>
      <c r="AW70" s="524"/>
      <c r="AX70" s="524"/>
      <c r="AY70" s="524"/>
      <c r="AZ70" s="524"/>
      <c r="BA70" s="524"/>
      <c r="BB70" s="524"/>
      <c r="BC70" s="524"/>
      <c r="BD70" s="524"/>
    </row>
    <row r="71" spans="1:56" s="6" customFormat="1" ht="2.4500000000000002" customHeight="1">
      <c r="A71" s="475"/>
      <c r="B71" s="475"/>
      <c r="C71" s="475"/>
      <c r="D71" s="475"/>
      <c r="E71" s="761"/>
      <c r="F71" s="533"/>
      <c r="G71" s="524"/>
      <c r="H71" s="392"/>
      <c r="I71" s="669"/>
      <c r="J71" s="235"/>
      <c r="K71" s="235"/>
      <c r="L71" s="235"/>
      <c r="M71" s="235"/>
      <c r="N71" s="235"/>
      <c r="O71" s="235"/>
      <c r="P71" s="235"/>
      <c r="Q71" s="235"/>
      <c r="R71" s="234"/>
      <c r="S71" s="234"/>
      <c r="T71" s="235"/>
      <c r="U71" s="235"/>
      <c r="V71" s="667"/>
      <c r="W71" s="149"/>
      <c r="X71" s="1241"/>
      <c r="Y71" s="1242"/>
      <c r="Z71" s="1242"/>
      <c r="AA71" s="1242"/>
      <c r="AB71" s="1242"/>
      <c r="AC71" s="1242"/>
      <c r="AD71" s="1242"/>
      <c r="AE71" s="1242"/>
      <c r="AF71" s="1242"/>
      <c r="AG71" s="1242"/>
      <c r="AH71" s="1242"/>
      <c r="AI71" s="1242"/>
      <c r="AJ71" s="1242"/>
      <c r="AK71" s="1242"/>
      <c r="AL71" s="1242"/>
      <c r="AM71" s="1277"/>
      <c r="AN71" s="524"/>
      <c r="AO71" s="524"/>
      <c r="AP71" s="524"/>
      <c r="AQ71" s="524"/>
      <c r="AR71" s="524"/>
      <c r="AS71" s="524"/>
      <c r="AT71" s="524"/>
      <c r="AU71" s="524"/>
      <c r="AV71" s="524"/>
      <c r="AW71" s="524"/>
      <c r="AX71" s="524"/>
      <c r="AY71" s="524"/>
      <c r="AZ71" s="524"/>
      <c r="BA71" s="524"/>
      <c r="BB71" s="524"/>
      <c r="BC71" s="524"/>
      <c r="BD71" s="524"/>
    </row>
    <row r="72" spans="1:56" s="6" customFormat="1" ht="11.85" customHeight="1">
      <c r="A72" s="476"/>
      <c r="B72" s="476"/>
      <c r="C72" s="476"/>
      <c r="D72" s="476"/>
      <c r="E72" s="761"/>
      <c r="F72" s="533"/>
      <c r="G72" s="524"/>
      <c r="H72" s="392"/>
      <c r="I72" s="668" t="str">
        <f>IF(ZRB!G46=0,"",""&amp;Kalkulation_Eigenstrom!AP49&amp;"")</f>
        <v/>
      </c>
      <c r="J72" s="235"/>
      <c r="K72" s="235"/>
      <c r="L72" s="235"/>
      <c r="M72" s="235"/>
      <c r="N72" s="235"/>
      <c r="O72" s="235"/>
      <c r="P72" s="235"/>
      <c r="Q72" s="688"/>
      <c r="R72" s="1505" t="str">
        <f>IF(ZRB!G46=0,"",IF(ZRB!F46=0,"",ZRB!F46))</f>
        <v/>
      </c>
      <c r="S72" s="1505"/>
      <c r="T72" s="1503" t="str">
        <f>IF(ZRB!G46=0,"",ZRB!G46)</f>
        <v/>
      </c>
      <c r="U72" s="1503"/>
      <c r="V72" s="1504"/>
      <c r="W72" s="149"/>
      <c r="X72" s="1241"/>
      <c r="Y72" s="1242"/>
      <c r="Z72" s="1242"/>
      <c r="AA72" s="1242"/>
      <c r="AB72" s="1242"/>
      <c r="AC72" s="1242"/>
      <c r="AD72" s="1242"/>
      <c r="AE72" s="1242"/>
      <c r="AF72" s="1242"/>
      <c r="AG72" s="1242"/>
      <c r="AH72" s="1242"/>
      <c r="AI72" s="1242"/>
      <c r="AJ72" s="1242"/>
      <c r="AK72" s="1242"/>
      <c r="AL72" s="1242"/>
      <c r="AM72" s="1277"/>
      <c r="AN72" s="524"/>
      <c r="AO72" s="524"/>
      <c r="AP72" s="524"/>
      <c r="AQ72" s="524"/>
      <c r="AR72" s="524"/>
      <c r="AS72" s="524"/>
      <c r="AT72" s="524"/>
      <c r="AU72" s="524"/>
      <c r="AV72" s="524"/>
      <c r="AW72" s="524"/>
      <c r="AX72" s="524"/>
      <c r="AY72" s="524"/>
      <c r="AZ72" s="524"/>
      <c r="BA72" s="524"/>
      <c r="BB72" s="524"/>
      <c r="BC72" s="524"/>
      <c r="BD72" s="524"/>
    </row>
    <row r="73" spans="1:56" s="6" customFormat="1" ht="2.4500000000000002" customHeight="1">
      <c r="A73" s="476"/>
      <c r="B73" s="476"/>
      <c r="C73" s="476"/>
      <c r="D73" s="476"/>
      <c r="E73" s="761"/>
      <c r="F73" s="533"/>
      <c r="G73" s="524"/>
      <c r="H73" s="392"/>
      <c r="I73" s="669"/>
      <c r="J73" s="235"/>
      <c r="K73" s="235"/>
      <c r="L73" s="235"/>
      <c r="M73" s="235"/>
      <c r="N73" s="235"/>
      <c r="O73" s="235"/>
      <c r="P73" s="235"/>
      <c r="Q73" s="235"/>
      <c r="R73" s="234"/>
      <c r="S73" s="234"/>
      <c r="T73" s="235"/>
      <c r="U73" s="235"/>
      <c r="V73" s="667"/>
      <c r="W73" s="149"/>
      <c r="X73" s="766"/>
      <c r="Y73" s="690"/>
      <c r="Z73" s="690"/>
      <c r="AA73" s="690"/>
      <c r="AB73" s="690"/>
      <c r="AC73" s="690"/>
      <c r="AD73" s="690"/>
      <c r="AE73" s="690"/>
      <c r="AF73" s="690"/>
      <c r="AG73" s="690"/>
      <c r="AH73" s="371"/>
      <c r="AI73" s="371"/>
      <c r="AJ73" s="371"/>
      <c r="AK73" s="371"/>
      <c r="AL73" s="371"/>
      <c r="AM73" s="434"/>
      <c r="AN73" s="524"/>
      <c r="AO73" s="524"/>
      <c r="AP73" s="524"/>
      <c r="AQ73" s="524"/>
      <c r="AR73" s="524"/>
      <c r="AS73" s="524"/>
      <c r="AT73" s="524"/>
      <c r="AU73" s="524"/>
      <c r="AV73" s="524"/>
      <c r="AW73" s="524"/>
      <c r="AX73" s="524"/>
      <c r="AY73" s="524"/>
      <c r="AZ73" s="524"/>
      <c r="BA73" s="524"/>
      <c r="BB73" s="524"/>
      <c r="BC73" s="524"/>
      <c r="BD73" s="524"/>
    </row>
    <row r="74" spans="1:56" s="6" customFormat="1" ht="11.85" customHeight="1">
      <c r="A74" s="476"/>
      <c r="B74" s="476"/>
      <c r="C74" s="476"/>
      <c r="D74" s="476"/>
      <c r="E74" s="761"/>
      <c r="F74" s="533"/>
      <c r="G74" s="524"/>
      <c r="H74" s="392"/>
      <c r="I74" s="668" t="str">
        <f>IF(ZRB!G47=0,"",""&amp;Kalkulation_Eigenstrom!AP51&amp;"")</f>
        <v/>
      </c>
      <c r="J74" s="235"/>
      <c r="K74" s="235"/>
      <c r="L74" s="235"/>
      <c r="M74" s="235"/>
      <c r="N74" s="235"/>
      <c r="O74" s="235"/>
      <c r="P74" s="235"/>
      <c r="Q74" s="688"/>
      <c r="R74" s="1505" t="str">
        <f>IF(ZRB!G47=0,"",IF(ZRB!F47=0,"",ZRB!F47))</f>
        <v/>
      </c>
      <c r="S74" s="1505"/>
      <c r="T74" s="1503" t="str">
        <f>IF(ZRB!G47=0,"",ZRB!G47)</f>
        <v/>
      </c>
      <c r="U74" s="1503"/>
      <c r="V74" s="1504"/>
      <c r="W74" s="149"/>
      <c r="X74" s="766"/>
      <c r="Y74" s="1500" t="s">
        <v>461</v>
      </c>
      <c r="Z74" s="1500"/>
      <c r="AA74" s="1500"/>
      <c r="AB74" s="1500"/>
      <c r="AC74" s="1500"/>
      <c r="AD74" s="1500"/>
      <c r="AE74" s="1500"/>
      <c r="AF74" s="1500"/>
      <c r="AG74" s="1500"/>
      <c r="AH74" s="1500"/>
      <c r="AI74" s="371"/>
      <c r="AJ74" s="1499" t="str">
        <f>IF(ZRB!G5=1,"",IF(ZRB!G80=0,"",ZRB!G80))</f>
        <v/>
      </c>
      <c r="AK74" s="1499"/>
      <c r="AL74" s="1499"/>
      <c r="AM74" s="782"/>
      <c r="AN74" s="524"/>
      <c r="AO74" s="524"/>
      <c r="AP74" s="524"/>
      <c r="AQ74" s="524"/>
      <c r="AR74" s="524"/>
      <c r="AS74" s="524"/>
      <c r="AT74" s="524"/>
      <c r="AU74" s="524"/>
      <c r="AV74" s="524"/>
      <c r="AW74" s="524"/>
      <c r="AX74" s="524"/>
      <c r="AY74" s="524"/>
      <c r="AZ74" s="524"/>
      <c r="BA74" s="524"/>
      <c r="BB74" s="524"/>
      <c r="BC74" s="524"/>
      <c r="BD74" s="524"/>
    </row>
    <row r="75" spans="1:56" s="6" customFormat="1" ht="2.4500000000000002" customHeight="1">
      <c r="A75" s="476"/>
      <c r="B75" s="476"/>
      <c r="C75" s="476"/>
      <c r="D75" s="476"/>
      <c r="E75" s="761"/>
      <c r="F75" s="533"/>
      <c r="G75" s="524"/>
      <c r="H75" s="392"/>
      <c r="I75" s="669"/>
      <c r="J75" s="235"/>
      <c r="K75" s="235"/>
      <c r="L75" s="235"/>
      <c r="M75" s="235"/>
      <c r="N75" s="235"/>
      <c r="O75" s="235"/>
      <c r="P75" s="235"/>
      <c r="Q75" s="235"/>
      <c r="R75" s="234"/>
      <c r="S75" s="234"/>
      <c r="T75" s="235"/>
      <c r="U75" s="235"/>
      <c r="V75" s="667"/>
      <c r="W75" s="149"/>
      <c r="X75" s="766"/>
      <c r="Y75" s="1500"/>
      <c r="Z75" s="1500"/>
      <c r="AA75" s="1500"/>
      <c r="AB75" s="1500"/>
      <c r="AC75" s="1500"/>
      <c r="AD75" s="1500"/>
      <c r="AE75" s="1500"/>
      <c r="AF75" s="1500"/>
      <c r="AG75" s="1500"/>
      <c r="AH75" s="1500"/>
      <c r="AI75" s="371"/>
      <c r="AJ75" s="1499"/>
      <c r="AK75" s="1499"/>
      <c r="AL75" s="1499"/>
      <c r="AM75" s="782"/>
      <c r="AN75" s="524"/>
      <c r="AO75" s="524"/>
      <c r="AP75" s="524"/>
      <c r="AQ75" s="524"/>
      <c r="AR75" s="524"/>
      <c r="AS75" s="524"/>
      <c r="AT75" s="524"/>
      <c r="AU75" s="524"/>
      <c r="AV75" s="524"/>
      <c r="AW75" s="524"/>
      <c r="AX75" s="524"/>
      <c r="AY75" s="524"/>
      <c r="AZ75" s="524"/>
      <c r="BA75" s="524"/>
      <c r="BB75" s="524"/>
      <c r="BC75" s="524"/>
      <c r="BD75" s="524"/>
    </row>
    <row r="76" spans="1:56" s="6" customFormat="1" ht="11.85" customHeight="1">
      <c r="A76" s="476"/>
      <c r="B76" s="476"/>
      <c r="C76" s="476"/>
      <c r="D76" s="476"/>
      <c r="E76" s="761"/>
      <c r="F76" s="533"/>
      <c r="G76" s="524"/>
      <c r="H76" s="392"/>
      <c r="I76" s="668" t="str">
        <f>IF(ZRB!G53=0,"",""&amp;Kalkulation_Eigenstrom!AP53&amp;"")</f>
        <v/>
      </c>
      <c r="J76" s="235"/>
      <c r="K76" s="235"/>
      <c r="L76" s="235"/>
      <c r="M76" s="235"/>
      <c r="N76" s="235"/>
      <c r="O76" s="235"/>
      <c r="P76" s="235"/>
      <c r="Q76" s="688"/>
      <c r="R76" s="1505" t="str">
        <f>IF(ZRB!G53=0,"",IF(ZRB!F53=0,"",ZRB!F53))</f>
        <v/>
      </c>
      <c r="S76" s="1505"/>
      <c r="T76" s="1503" t="str">
        <f>IF(ZRB!G53=0,"",ZRB!G53)</f>
        <v/>
      </c>
      <c r="U76" s="1503"/>
      <c r="V76" s="1504"/>
      <c r="W76" s="149"/>
      <c r="X76" s="766"/>
      <c r="Y76" s="1500"/>
      <c r="Z76" s="1500"/>
      <c r="AA76" s="1500"/>
      <c r="AB76" s="1500"/>
      <c r="AC76" s="1500"/>
      <c r="AD76" s="1500"/>
      <c r="AE76" s="1500"/>
      <c r="AF76" s="1500"/>
      <c r="AG76" s="1500"/>
      <c r="AH76" s="1500"/>
      <c r="AI76" s="371"/>
      <c r="AJ76" s="1499"/>
      <c r="AK76" s="1499"/>
      <c r="AL76" s="1499"/>
      <c r="AM76" s="782"/>
      <c r="AN76" s="524"/>
      <c r="AO76" s="524"/>
      <c r="AP76" s="524"/>
      <c r="AQ76" s="524"/>
      <c r="AR76" s="524"/>
      <c r="AS76" s="524"/>
      <c r="AT76" s="524"/>
      <c r="AU76" s="524"/>
      <c r="AV76" s="524"/>
      <c r="AW76" s="524"/>
      <c r="AX76" s="524"/>
      <c r="AY76" s="524"/>
      <c r="AZ76" s="524"/>
      <c r="BA76" s="524"/>
      <c r="BB76" s="524"/>
      <c r="BC76" s="524"/>
      <c r="BD76" s="524"/>
    </row>
    <row r="77" spans="1:56" s="6" customFormat="1" ht="2.4500000000000002" customHeight="1">
      <c r="A77" s="476"/>
      <c r="B77" s="476"/>
      <c r="C77" s="476"/>
      <c r="D77" s="476"/>
      <c r="E77" s="761"/>
      <c r="F77" s="533"/>
      <c r="G77" s="524"/>
      <c r="H77" s="392"/>
      <c r="I77" s="669"/>
      <c r="J77" s="235"/>
      <c r="K77" s="235"/>
      <c r="L77" s="235"/>
      <c r="M77" s="235"/>
      <c r="N77" s="235"/>
      <c r="O77" s="235"/>
      <c r="P77" s="235"/>
      <c r="Q77" s="235"/>
      <c r="R77" s="234"/>
      <c r="S77" s="234"/>
      <c r="T77" s="235"/>
      <c r="U77" s="235"/>
      <c r="V77" s="667"/>
      <c r="W77" s="149"/>
      <c r="X77" s="766"/>
      <c r="Y77" s="371"/>
      <c r="Z77" s="371"/>
      <c r="AA77" s="371"/>
      <c r="AB77" s="371"/>
      <c r="AC77" s="371"/>
      <c r="AD77" s="371"/>
      <c r="AE77" s="371"/>
      <c r="AF77" s="371"/>
      <c r="AG77" s="371"/>
      <c r="AH77" s="371"/>
      <c r="AI77" s="371"/>
      <c r="AJ77" s="371"/>
      <c r="AK77" s="371"/>
      <c r="AL77" s="371"/>
      <c r="AM77" s="434"/>
      <c r="AN77" s="524"/>
      <c r="AO77" s="524"/>
      <c r="AP77" s="524"/>
      <c r="AQ77" s="524"/>
      <c r="AR77" s="524"/>
      <c r="AS77" s="524"/>
      <c r="AT77" s="524"/>
      <c r="AU77" s="524"/>
      <c r="AV77" s="524"/>
      <c r="AW77" s="524"/>
      <c r="AX77" s="524"/>
      <c r="AY77" s="524"/>
      <c r="AZ77" s="524"/>
      <c r="BA77" s="524"/>
      <c r="BB77" s="524"/>
      <c r="BC77" s="524"/>
      <c r="BD77" s="524"/>
    </row>
    <row r="78" spans="1:56" s="6" customFormat="1" ht="11.85" customHeight="1">
      <c r="A78" s="476"/>
      <c r="B78" s="476"/>
      <c r="C78" s="476"/>
      <c r="D78" s="476"/>
      <c r="E78" s="761"/>
      <c r="F78" s="533"/>
      <c r="G78" s="524"/>
      <c r="H78" s="392"/>
      <c r="I78" s="668" t="str">
        <f>IF(ZRB!G54=0,"",""&amp;Kalkulation_Eigenstrom!AP55&amp;"")</f>
        <v/>
      </c>
      <c r="J78" s="235"/>
      <c r="K78" s="235"/>
      <c r="L78" s="235"/>
      <c r="M78" s="235"/>
      <c r="N78" s="235"/>
      <c r="O78" s="235"/>
      <c r="P78" s="235"/>
      <c r="Q78" s="688"/>
      <c r="R78" s="1505" t="str">
        <f>IF(ZRB!G54=0,"",IF(ZRB!F54=0,"",ZRB!F54))</f>
        <v/>
      </c>
      <c r="S78" s="1505"/>
      <c r="T78" s="1503" t="str">
        <f>IF(ZRB!G54=0,"",ZRB!G54)</f>
        <v/>
      </c>
      <c r="U78" s="1503"/>
      <c r="V78" s="1504"/>
      <c r="W78" s="149"/>
      <c r="X78" s="766"/>
      <c r="Y78" s="1568" t="s">
        <v>462</v>
      </c>
      <c r="Z78" s="1500"/>
      <c r="AA78" s="1500"/>
      <c r="AB78" s="1500"/>
      <c r="AC78" s="1500"/>
      <c r="AD78" s="1500"/>
      <c r="AE78" s="1500"/>
      <c r="AF78" s="1500"/>
      <c r="AG78" s="1500"/>
      <c r="AH78" s="1500"/>
      <c r="AI78" s="1542" t="str">
        <f>"("&amp;ROUND(ZRB!I32*100,2)&amp;"%)"</f>
        <v>(0%)</v>
      </c>
      <c r="AJ78" s="1499" t="str">
        <f>IF(Kalkulation_Eigenstrom!$AN$13=1,"",IF(ZRB!G5=1,"",ZRB!G83*(-1)))</f>
        <v/>
      </c>
      <c r="AK78" s="1499"/>
      <c r="AL78" s="1499"/>
      <c r="AM78" s="782"/>
      <c r="AN78" s="524"/>
      <c r="AO78" s="524"/>
      <c r="AP78" s="524"/>
      <c r="AQ78" s="524"/>
      <c r="AR78" s="524"/>
      <c r="AS78" s="524"/>
      <c r="AT78" s="524"/>
      <c r="AU78" s="524"/>
      <c r="AV78" s="524"/>
      <c r="AW78" s="524"/>
      <c r="AX78" s="524"/>
      <c r="AY78" s="524"/>
      <c r="AZ78" s="524"/>
      <c r="BA78" s="524"/>
      <c r="BB78" s="524"/>
      <c r="BC78" s="524"/>
      <c r="BD78" s="524"/>
    </row>
    <row r="79" spans="1:56" s="6" customFormat="1" ht="2.4500000000000002" customHeight="1">
      <c r="A79" s="476"/>
      <c r="B79" s="476"/>
      <c r="C79" s="476"/>
      <c r="D79" s="476"/>
      <c r="E79" s="761"/>
      <c r="F79" s="533"/>
      <c r="G79" s="524"/>
      <c r="H79" s="392"/>
      <c r="I79" s="669"/>
      <c r="J79" s="235"/>
      <c r="K79" s="235"/>
      <c r="L79" s="235"/>
      <c r="M79" s="235"/>
      <c r="N79" s="235"/>
      <c r="O79" s="235"/>
      <c r="P79" s="235"/>
      <c r="Q79" s="235"/>
      <c r="R79" s="234"/>
      <c r="S79" s="234"/>
      <c r="T79" s="235"/>
      <c r="U79" s="235"/>
      <c r="V79" s="667"/>
      <c r="W79" s="149"/>
      <c r="X79" s="766"/>
      <c r="Y79" s="1500"/>
      <c r="Z79" s="1500"/>
      <c r="AA79" s="1500"/>
      <c r="AB79" s="1500"/>
      <c r="AC79" s="1500"/>
      <c r="AD79" s="1500"/>
      <c r="AE79" s="1500"/>
      <c r="AF79" s="1500"/>
      <c r="AG79" s="1500"/>
      <c r="AH79" s="1500"/>
      <c r="AI79" s="1542"/>
      <c r="AJ79" s="1499"/>
      <c r="AK79" s="1499"/>
      <c r="AL79" s="1499"/>
      <c r="AM79" s="782"/>
      <c r="AN79" s="524"/>
      <c r="AO79" s="524"/>
      <c r="AP79" s="524"/>
      <c r="AQ79" s="524"/>
      <c r="AR79" s="524"/>
      <c r="AS79" s="524"/>
      <c r="AT79" s="524"/>
      <c r="AU79" s="524"/>
      <c r="AV79" s="524"/>
      <c r="AW79" s="524"/>
      <c r="AX79" s="524"/>
      <c r="AY79" s="524"/>
      <c r="AZ79" s="524"/>
      <c r="BA79" s="524"/>
      <c r="BB79" s="524"/>
      <c r="BC79" s="524"/>
      <c r="BD79" s="524"/>
    </row>
    <row r="80" spans="1:56" s="6" customFormat="1" ht="11.85" customHeight="1">
      <c r="A80" s="476"/>
      <c r="B80" s="476"/>
      <c r="C80" s="476"/>
      <c r="D80" s="476"/>
      <c r="E80" s="761"/>
      <c r="F80" s="533"/>
      <c r="G80" s="524"/>
      <c r="H80" s="392"/>
      <c r="I80" s="668" t="str">
        <f>IF(ZRB!G55=0,"",""&amp;Kalkulation_Eigenstrom!AP57&amp;"")</f>
        <v/>
      </c>
      <c r="J80" s="235"/>
      <c r="K80" s="235"/>
      <c r="L80" s="235"/>
      <c r="M80" s="235"/>
      <c r="N80" s="235"/>
      <c r="O80" s="235"/>
      <c r="P80" s="235"/>
      <c r="Q80" s="688"/>
      <c r="R80" s="1505" t="str">
        <f>IF(ZRB!G55=0,"",IF(ZRB!F55=0,"",ZRB!F55))</f>
        <v/>
      </c>
      <c r="S80" s="1505"/>
      <c r="T80" s="1503" t="str">
        <f>IF(ZRB!G55=0,"",ZRB!G55)</f>
        <v/>
      </c>
      <c r="U80" s="1503"/>
      <c r="V80" s="1504"/>
      <c r="W80" s="149"/>
      <c r="X80" s="766"/>
      <c r="Y80" s="1500"/>
      <c r="Z80" s="1500"/>
      <c r="AA80" s="1500"/>
      <c r="AB80" s="1500"/>
      <c r="AC80" s="1500"/>
      <c r="AD80" s="1500"/>
      <c r="AE80" s="1500"/>
      <c r="AF80" s="1500"/>
      <c r="AG80" s="1500"/>
      <c r="AH80" s="1500"/>
      <c r="AI80" s="1542"/>
      <c r="AJ80" s="1499"/>
      <c r="AK80" s="1499"/>
      <c r="AL80" s="1499"/>
      <c r="AM80" s="782"/>
      <c r="AN80" s="524"/>
      <c r="AO80" s="524"/>
      <c r="AP80" s="524"/>
      <c r="AQ80" s="524"/>
      <c r="AR80" s="524"/>
      <c r="AS80" s="524"/>
      <c r="AT80" s="524"/>
      <c r="AU80" s="524"/>
      <c r="AV80" s="524"/>
      <c r="AW80" s="524"/>
      <c r="AX80" s="524"/>
      <c r="AY80" s="524"/>
      <c r="AZ80" s="524"/>
      <c r="BA80" s="524"/>
      <c r="BB80" s="524"/>
      <c r="BC80" s="524"/>
      <c r="BD80" s="524"/>
    </row>
    <row r="81" spans="1:56" s="6" customFormat="1" ht="2.4500000000000002" customHeight="1">
      <c r="A81" s="476"/>
      <c r="B81" s="476"/>
      <c r="C81" s="476"/>
      <c r="D81" s="476"/>
      <c r="E81" s="761"/>
      <c r="F81" s="533"/>
      <c r="G81" s="524"/>
      <c r="H81" s="392"/>
      <c r="I81" s="669"/>
      <c r="J81" s="235"/>
      <c r="K81" s="235"/>
      <c r="L81" s="235"/>
      <c r="M81" s="235"/>
      <c r="N81" s="235"/>
      <c r="O81" s="235"/>
      <c r="P81" s="235"/>
      <c r="Q81" s="235"/>
      <c r="R81" s="235"/>
      <c r="S81" s="235"/>
      <c r="T81" s="235"/>
      <c r="U81" s="235"/>
      <c r="V81" s="667"/>
      <c r="W81" s="149"/>
      <c r="X81" s="766"/>
      <c r="Y81" s="371"/>
      <c r="Z81" s="371"/>
      <c r="AA81" s="371"/>
      <c r="AB81" s="371"/>
      <c r="AC81" s="371"/>
      <c r="AD81" s="371"/>
      <c r="AE81" s="371"/>
      <c r="AF81" s="371"/>
      <c r="AG81" s="371"/>
      <c r="AH81" s="371"/>
      <c r="AI81" s="371"/>
      <c r="AJ81" s="371"/>
      <c r="AK81" s="371"/>
      <c r="AL81" s="371"/>
      <c r="AM81" s="434"/>
      <c r="AN81" s="524"/>
      <c r="AO81" s="524"/>
      <c r="AP81" s="524"/>
      <c r="AQ81" s="524"/>
      <c r="AR81" s="524"/>
      <c r="AS81" s="524"/>
      <c r="AT81" s="524"/>
      <c r="AU81" s="524"/>
      <c r="AV81" s="524"/>
      <c r="AW81" s="524"/>
      <c r="AX81" s="524"/>
      <c r="AY81" s="524"/>
      <c r="AZ81" s="524"/>
      <c r="BA81" s="524"/>
      <c r="BB81" s="524"/>
      <c r="BC81" s="524"/>
      <c r="BD81" s="524"/>
    </row>
    <row r="82" spans="1:56" s="6" customFormat="1" ht="11.85" customHeight="1">
      <c r="A82" s="476"/>
      <c r="B82" s="476"/>
      <c r="C82" s="476"/>
      <c r="D82" s="476"/>
      <c r="E82" s="761"/>
      <c r="F82" s="533"/>
      <c r="G82" s="524"/>
      <c r="H82" s="392"/>
      <c r="I82" s="668" t="str">
        <f>""&amp;Kalkulation_Eigenstrom!AP59&amp;""</f>
        <v>Verzinsung des Kapitals</v>
      </c>
      <c r="J82" s="235"/>
      <c r="K82" s="235"/>
      <c r="L82" s="235"/>
      <c r="M82" s="235"/>
      <c r="N82" s="406"/>
      <c r="O82" s="235"/>
      <c r="P82" s="235"/>
      <c r="Q82" s="644" t="str">
        <f>"("&amp;ROUND(ZRB!F58*100,3)&amp;" %; Annuitätenmethode)"</f>
        <v>(3 %; Annuitätenmethode)</v>
      </c>
      <c r="R82" s="412"/>
      <c r="S82" s="412"/>
      <c r="T82" s="1503" t="str">
        <f>IF(ZRB!G58=0,"",ZRB!G58)</f>
        <v/>
      </c>
      <c r="U82" s="1503"/>
      <c r="V82" s="1504"/>
      <c r="W82" s="149"/>
      <c r="X82" s="766"/>
      <c r="Y82" s="1568" t="s">
        <v>463</v>
      </c>
      <c r="Z82" s="1500"/>
      <c r="AA82" s="1500"/>
      <c r="AB82" s="1500"/>
      <c r="AC82" s="1500"/>
      <c r="AD82" s="1500"/>
      <c r="AE82" s="1500"/>
      <c r="AF82" s="1500"/>
      <c r="AG82" s="1500"/>
      <c r="AH82" s="1500"/>
      <c r="AI82" s="371"/>
      <c r="AJ82" s="1499" t="str">
        <f>IF(ZRB!G5=1,"",IF(ZRB!G13&lt;3,ZRB!G86*(-1),""))</f>
        <v/>
      </c>
      <c r="AK82" s="1499"/>
      <c r="AL82" s="1499"/>
      <c r="AM82" s="782"/>
      <c r="AN82" s="524"/>
      <c r="AO82" s="524"/>
      <c r="AP82" s="524"/>
      <c r="AQ82" s="524"/>
      <c r="AR82" s="524"/>
      <c r="AS82" s="524"/>
      <c r="AT82" s="524"/>
      <c r="AU82" s="524"/>
      <c r="AV82" s="524"/>
      <c r="AW82" s="524"/>
      <c r="AX82" s="524"/>
      <c r="AY82" s="524"/>
      <c r="AZ82" s="524"/>
      <c r="BA82" s="524"/>
      <c r="BB82" s="524"/>
      <c r="BC82" s="524"/>
      <c r="BD82" s="524"/>
    </row>
    <row r="83" spans="1:56" s="6" customFormat="1" ht="2.4500000000000002" customHeight="1">
      <c r="A83" s="476"/>
      <c r="B83" s="476"/>
      <c r="C83" s="476"/>
      <c r="D83" s="476"/>
      <c r="E83" s="761"/>
      <c r="F83" s="533"/>
      <c r="G83" s="524"/>
      <c r="H83" s="392"/>
      <c r="I83" s="668"/>
      <c r="J83" s="235"/>
      <c r="K83" s="235"/>
      <c r="L83" s="235"/>
      <c r="M83" s="235"/>
      <c r="N83" s="406"/>
      <c r="O83" s="235"/>
      <c r="P83" s="235"/>
      <c r="Q83" s="644"/>
      <c r="R83" s="412"/>
      <c r="S83" s="412"/>
      <c r="T83" s="759"/>
      <c r="U83" s="759"/>
      <c r="V83" s="760"/>
      <c r="W83" s="149"/>
      <c r="X83" s="766"/>
      <c r="Y83" s="1500"/>
      <c r="Z83" s="1500"/>
      <c r="AA83" s="1500"/>
      <c r="AB83" s="1500"/>
      <c r="AC83" s="1500"/>
      <c r="AD83" s="1500"/>
      <c r="AE83" s="1500"/>
      <c r="AF83" s="1500"/>
      <c r="AG83" s="1500"/>
      <c r="AH83" s="1500"/>
      <c r="AI83" s="371"/>
      <c r="AJ83" s="1499"/>
      <c r="AK83" s="1499"/>
      <c r="AL83" s="1499"/>
      <c r="AM83" s="782"/>
      <c r="AN83" s="524"/>
      <c r="AO83" s="524"/>
      <c r="AP83" s="524"/>
      <c r="AQ83" s="524"/>
      <c r="AR83" s="524"/>
      <c r="AS83" s="524"/>
      <c r="AT83" s="524"/>
      <c r="AU83" s="524"/>
      <c r="AV83" s="524"/>
      <c r="AW83" s="524"/>
      <c r="AX83" s="524"/>
      <c r="AY83" s="524"/>
      <c r="AZ83" s="524"/>
      <c r="BA83" s="524"/>
      <c r="BB83" s="524"/>
      <c r="BC83" s="524"/>
      <c r="BD83" s="524"/>
    </row>
    <row r="84" spans="1:56" s="6" customFormat="1" ht="11.85" customHeight="1">
      <c r="A84" s="476"/>
      <c r="B84" s="476"/>
      <c r="C84" s="476"/>
      <c r="D84" s="476"/>
      <c r="E84" s="761"/>
      <c r="F84" s="533"/>
      <c r="G84" s="524"/>
      <c r="H84" s="392"/>
      <c r="I84" s="668"/>
      <c r="J84" s="235"/>
      <c r="K84" s="235"/>
      <c r="L84" s="235"/>
      <c r="M84" s="235"/>
      <c r="N84" s="406"/>
      <c r="O84" s="235"/>
      <c r="P84" s="235"/>
      <c r="Q84" s="644"/>
      <c r="R84" s="412"/>
      <c r="S84" s="412"/>
      <c r="T84" s="759"/>
      <c r="U84" s="759"/>
      <c r="V84" s="760"/>
      <c r="W84" s="149"/>
      <c r="X84" s="766"/>
      <c r="Y84" s="1569"/>
      <c r="Z84" s="1569"/>
      <c r="AA84" s="1569"/>
      <c r="AB84" s="1569"/>
      <c r="AC84" s="1569"/>
      <c r="AD84" s="1569"/>
      <c r="AE84" s="1569"/>
      <c r="AF84" s="1569"/>
      <c r="AG84" s="1569"/>
      <c r="AH84" s="1569"/>
      <c r="AI84" s="372"/>
      <c r="AJ84" s="1552"/>
      <c r="AK84" s="1552"/>
      <c r="AL84" s="1552"/>
      <c r="AM84" s="782"/>
      <c r="AN84" s="524"/>
      <c r="AO84" s="524"/>
      <c r="AP84" s="524"/>
      <c r="AQ84" s="524"/>
      <c r="AR84" s="524"/>
      <c r="AS84" s="524"/>
      <c r="AT84" s="524"/>
      <c r="AU84" s="524"/>
      <c r="AV84" s="524"/>
      <c r="AW84" s="524"/>
      <c r="AX84" s="524"/>
      <c r="AY84" s="524"/>
      <c r="AZ84" s="524"/>
      <c r="BA84" s="524"/>
      <c r="BB84" s="524"/>
      <c r="BC84" s="524"/>
      <c r="BD84" s="524"/>
    </row>
    <row r="85" spans="1:56" s="6" customFormat="1" ht="2.4500000000000002" customHeight="1">
      <c r="A85" s="476"/>
      <c r="B85" s="476"/>
      <c r="C85" s="476"/>
      <c r="D85" s="476"/>
      <c r="E85" s="761"/>
      <c r="F85" s="533"/>
      <c r="G85" s="524"/>
      <c r="H85" s="392"/>
      <c r="I85" s="1516" t="s">
        <v>309</v>
      </c>
      <c r="J85" s="1516"/>
      <c r="K85" s="1516"/>
      <c r="L85" s="1516"/>
      <c r="M85" s="1516"/>
      <c r="N85" s="1516"/>
      <c r="O85" s="1516"/>
      <c r="P85" s="1516"/>
      <c r="Q85" s="1516"/>
      <c r="R85" s="235"/>
      <c r="S85" s="235"/>
      <c r="T85" s="235"/>
      <c r="U85" s="235"/>
      <c r="V85" s="667"/>
      <c r="W85" s="149"/>
      <c r="X85" s="766"/>
      <c r="Y85" s="371"/>
      <c r="Z85" s="371"/>
      <c r="AA85" s="371"/>
      <c r="AB85" s="371"/>
      <c r="AC85" s="371"/>
      <c r="AD85" s="371"/>
      <c r="AE85" s="371"/>
      <c r="AF85" s="371"/>
      <c r="AG85" s="371"/>
      <c r="AH85" s="371"/>
      <c r="AI85" s="371"/>
      <c r="AJ85" s="371"/>
      <c r="AK85" s="371"/>
      <c r="AL85" s="371"/>
      <c r="AM85" s="434"/>
      <c r="AN85" s="524"/>
      <c r="AO85" s="524"/>
      <c r="AP85" s="524"/>
      <c r="AQ85" s="524"/>
      <c r="AR85" s="524"/>
      <c r="AS85" s="524"/>
      <c r="AT85" s="524"/>
      <c r="AU85" s="524"/>
      <c r="AV85" s="524"/>
      <c r="AW85" s="524"/>
      <c r="AX85" s="524"/>
      <c r="AY85" s="524"/>
      <c r="AZ85" s="524"/>
      <c r="BA85" s="524"/>
      <c r="BB85" s="524"/>
      <c r="BC85" s="524"/>
      <c r="BD85" s="524"/>
    </row>
    <row r="86" spans="1:56" s="6" customFormat="1" ht="11.85" customHeight="1">
      <c r="A86" s="476"/>
      <c r="B86" s="476"/>
      <c r="C86" s="476"/>
      <c r="D86" s="476"/>
      <c r="E86" s="761"/>
      <c r="F86" s="533"/>
      <c r="G86" s="524"/>
      <c r="H86" s="392"/>
      <c r="I86" s="1516"/>
      <c r="J86" s="1516"/>
      <c r="K86" s="1516"/>
      <c r="L86" s="1516"/>
      <c r="M86" s="1516"/>
      <c r="N86" s="1516"/>
      <c r="O86" s="1516"/>
      <c r="P86" s="1516"/>
      <c r="Q86" s="1516"/>
      <c r="R86" s="677"/>
      <c r="S86" s="677"/>
      <c r="T86" s="677"/>
      <c r="U86" s="677"/>
      <c r="V86" s="678"/>
      <c r="W86" s="149"/>
      <c r="X86" s="766"/>
      <c r="Y86" s="1568" t="s">
        <v>492</v>
      </c>
      <c r="Z86" s="1500"/>
      <c r="AA86" s="1500"/>
      <c r="AB86" s="1500"/>
      <c r="AC86" s="1500"/>
      <c r="AD86" s="1500"/>
      <c r="AE86" s="1500"/>
      <c r="AF86" s="1500"/>
      <c r="AG86" s="1500"/>
      <c r="AH86" s="1500"/>
      <c r="AI86" s="1542" t="str">
        <f>"("&amp;ROUND(ZRB!I31*100,2)&amp;"%)"</f>
        <v>(0%)</v>
      </c>
      <c r="AJ86" s="1499" t="str">
        <f>IF(Kalkulation_Eigenstrom!$AN$13=1,"",IF(ZRB!G5=1,"",ZRB!G87))</f>
        <v/>
      </c>
      <c r="AK86" s="1499"/>
      <c r="AL86" s="1499"/>
      <c r="AM86" s="782"/>
      <c r="AN86" s="524"/>
      <c r="AO86" s="524"/>
      <c r="AP86" s="524"/>
      <c r="AQ86" s="524"/>
      <c r="AR86" s="524"/>
      <c r="AS86" s="524"/>
      <c r="AT86" s="524"/>
      <c r="AU86" s="524"/>
      <c r="AV86" s="524"/>
      <c r="AW86" s="524"/>
      <c r="AX86" s="524"/>
      <c r="AY86" s="524"/>
      <c r="AZ86" s="524"/>
      <c r="BA86" s="524"/>
      <c r="BB86" s="524"/>
      <c r="BC86" s="524"/>
      <c r="BD86" s="524"/>
    </row>
    <row r="87" spans="1:56" s="6" customFormat="1" ht="2.4500000000000002" customHeight="1">
      <c r="A87" s="476"/>
      <c r="B87" s="476"/>
      <c r="C87" s="476"/>
      <c r="D87" s="476"/>
      <c r="E87" s="761"/>
      <c r="F87" s="533"/>
      <c r="G87" s="524"/>
      <c r="H87" s="392"/>
      <c r="I87" s="235"/>
      <c r="J87" s="235"/>
      <c r="K87" s="235"/>
      <c r="L87" s="235"/>
      <c r="M87" s="235"/>
      <c r="N87" s="235"/>
      <c r="O87" s="235"/>
      <c r="P87" s="235"/>
      <c r="Q87" s="235"/>
      <c r="R87" s="235"/>
      <c r="S87" s="235"/>
      <c r="T87" s="235"/>
      <c r="U87" s="235"/>
      <c r="V87" s="667"/>
      <c r="W87" s="149"/>
      <c r="X87" s="766"/>
      <c r="Y87" s="1500"/>
      <c r="Z87" s="1500"/>
      <c r="AA87" s="1500"/>
      <c r="AB87" s="1500"/>
      <c r="AC87" s="1500"/>
      <c r="AD87" s="1500"/>
      <c r="AE87" s="1500"/>
      <c r="AF87" s="1500"/>
      <c r="AG87" s="1500"/>
      <c r="AH87" s="1500"/>
      <c r="AI87" s="1542"/>
      <c r="AJ87" s="1499"/>
      <c r="AK87" s="1499"/>
      <c r="AL87" s="1499"/>
      <c r="AM87" s="782"/>
      <c r="AN87" s="524"/>
      <c r="AO87" s="524"/>
      <c r="AP87" s="524"/>
      <c r="AQ87" s="524"/>
      <c r="AR87" s="524"/>
      <c r="AS87" s="524"/>
      <c r="AT87" s="524"/>
      <c r="AU87" s="524"/>
      <c r="AV87" s="524"/>
      <c r="AW87" s="524"/>
      <c r="AX87" s="524"/>
      <c r="AY87" s="524"/>
      <c r="AZ87" s="524"/>
      <c r="BA87" s="524"/>
      <c r="BB87" s="524"/>
      <c r="BC87" s="524"/>
      <c r="BD87" s="524"/>
    </row>
    <row r="88" spans="1:56" s="6" customFormat="1" ht="11.85" customHeight="1">
      <c r="A88" s="476"/>
      <c r="B88" s="476"/>
      <c r="C88" s="476"/>
      <c r="D88" s="476"/>
      <c r="E88" s="761"/>
      <c r="F88" s="533"/>
      <c r="G88" s="524"/>
      <c r="H88" s="392"/>
      <c r="I88" s="668" t="str">
        <f>IF(ZRB!G68=0,"",""&amp;Kalkulation_Eigenstrom!AP63&amp;"")</f>
        <v/>
      </c>
      <c r="J88" s="235"/>
      <c r="K88" s="235"/>
      <c r="L88" s="235"/>
      <c r="M88" s="235"/>
      <c r="N88" s="235"/>
      <c r="O88" s="235"/>
      <c r="P88" s="235"/>
      <c r="Q88" s="1503" t="str">
        <f>IF(ZRB!G68=0,"",ZRB!G68)</f>
        <v/>
      </c>
      <c r="R88" s="1503"/>
      <c r="S88" s="1503"/>
      <c r="T88" s="1503"/>
      <c r="U88" s="1503"/>
      <c r="V88" s="1504"/>
      <c r="W88" s="149"/>
      <c r="X88" s="766"/>
      <c r="Y88" s="1500"/>
      <c r="Z88" s="1500"/>
      <c r="AA88" s="1500"/>
      <c r="AB88" s="1500"/>
      <c r="AC88" s="1500"/>
      <c r="AD88" s="1500"/>
      <c r="AE88" s="1500"/>
      <c r="AF88" s="1500"/>
      <c r="AG88" s="1500"/>
      <c r="AH88" s="1500"/>
      <c r="AI88" s="1542"/>
      <c r="AJ88" s="1499"/>
      <c r="AK88" s="1499"/>
      <c r="AL88" s="1499"/>
      <c r="AM88" s="782"/>
      <c r="AN88" s="524"/>
      <c r="AO88" s="524"/>
      <c r="AP88" s="524"/>
      <c r="AQ88" s="524"/>
      <c r="AR88" s="524"/>
      <c r="AS88" s="524"/>
      <c r="AT88" s="524"/>
      <c r="AU88" s="524"/>
      <c r="AV88" s="524"/>
      <c r="AW88" s="524"/>
      <c r="AX88" s="524"/>
      <c r="AY88" s="524"/>
      <c r="AZ88" s="524"/>
      <c r="BA88" s="524"/>
      <c r="BB88" s="524"/>
      <c r="BC88" s="524"/>
      <c r="BD88" s="524"/>
    </row>
    <row r="89" spans="1:56" s="6" customFormat="1" ht="2.4500000000000002" customHeight="1">
      <c r="A89" s="476"/>
      <c r="B89" s="476"/>
      <c r="C89" s="476"/>
      <c r="D89" s="476"/>
      <c r="E89" s="761"/>
      <c r="F89" s="533"/>
      <c r="G89" s="524"/>
      <c r="H89" s="392"/>
      <c r="I89" s="235"/>
      <c r="J89" s="235"/>
      <c r="K89" s="235"/>
      <c r="L89" s="235"/>
      <c r="M89" s="235"/>
      <c r="N89" s="235"/>
      <c r="O89" s="235"/>
      <c r="P89" s="235"/>
      <c r="Q89" s="235"/>
      <c r="R89" s="235"/>
      <c r="S89" s="235"/>
      <c r="T89" s="235"/>
      <c r="U89" s="235"/>
      <c r="V89" s="667"/>
      <c r="W89" s="149"/>
      <c r="X89" s="766"/>
      <c r="Y89" s="371"/>
      <c r="Z89" s="371"/>
      <c r="AA89" s="371"/>
      <c r="AB89" s="371"/>
      <c r="AC89" s="371"/>
      <c r="AD89" s="371"/>
      <c r="AE89" s="371"/>
      <c r="AF89" s="371"/>
      <c r="AG89" s="371"/>
      <c r="AH89" s="371"/>
      <c r="AI89" s="371"/>
      <c r="AJ89" s="371"/>
      <c r="AK89" s="371"/>
      <c r="AL89" s="371"/>
      <c r="AM89" s="434"/>
      <c r="AN89" s="524"/>
      <c r="AO89" s="524"/>
      <c r="AP89" s="524"/>
      <c r="AQ89" s="524"/>
      <c r="AR89" s="524"/>
      <c r="AS89" s="524"/>
      <c r="AT89" s="524"/>
      <c r="AU89" s="524"/>
      <c r="AV89" s="524"/>
      <c r="AW89" s="524"/>
      <c r="AX89" s="524"/>
      <c r="AY89" s="524"/>
      <c r="AZ89" s="524"/>
      <c r="BA89" s="524"/>
      <c r="BB89" s="524"/>
      <c r="BC89" s="524"/>
      <c r="BD89" s="524"/>
    </row>
    <row r="90" spans="1:56" s="6" customFormat="1" ht="11.85" customHeight="1">
      <c r="A90" s="476"/>
      <c r="B90" s="476"/>
      <c r="C90" s="476"/>
      <c r="D90" s="476"/>
      <c r="E90" s="761"/>
      <c r="F90" s="533"/>
      <c r="G90" s="524"/>
      <c r="H90" s="392"/>
      <c r="I90" s="668" t="str">
        <f>IF(ZRB!G69=0,"",""&amp;Kalkulation_Eigenstrom!AP65&amp;"")</f>
        <v/>
      </c>
      <c r="J90" s="235"/>
      <c r="K90" s="235"/>
      <c r="L90" s="235"/>
      <c r="M90" s="235"/>
      <c r="N90" s="235"/>
      <c r="O90" s="235"/>
      <c r="P90" s="235"/>
      <c r="Q90" s="1503" t="str">
        <f>IF(ZRB!G69=0,"",ZRB!G69)</f>
        <v/>
      </c>
      <c r="R90" s="1503"/>
      <c r="S90" s="1503"/>
      <c r="T90" s="1503"/>
      <c r="U90" s="1503"/>
      <c r="V90" s="1504"/>
      <c r="W90" s="149"/>
      <c r="X90" s="766"/>
      <c r="Y90" s="372"/>
      <c r="Z90" s="372"/>
      <c r="AA90" s="372"/>
      <c r="AB90" s="372"/>
      <c r="AC90" s="372"/>
      <c r="AD90" s="372"/>
      <c r="AE90" s="372"/>
      <c r="AF90" s="372"/>
      <c r="AG90" s="372"/>
      <c r="AH90" s="372"/>
      <c r="AI90" s="372"/>
      <c r="AJ90" s="372"/>
      <c r="AK90" s="372"/>
      <c r="AL90" s="372"/>
      <c r="AM90" s="434"/>
      <c r="AN90" s="524"/>
      <c r="AO90" s="524"/>
      <c r="AP90" s="524"/>
      <c r="AQ90" s="524"/>
      <c r="AR90" s="524"/>
      <c r="AS90" s="524"/>
      <c r="AT90" s="524"/>
      <c r="AU90" s="524"/>
      <c r="AV90" s="524"/>
      <c r="AW90" s="524"/>
      <c r="AX90" s="524"/>
      <c r="AY90" s="524"/>
      <c r="AZ90" s="524"/>
      <c r="BA90" s="524"/>
      <c r="BB90" s="524"/>
      <c r="BC90" s="524"/>
      <c r="BD90" s="524"/>
    </row>
    <row r="91" spans="1:56" s="6" customFormat="1" ht="2.4500000000000002" customHeight="1">
      <c r="A91" s="476"/>
      <c r="B91" s="476"/>
      <c r="C91" s="476"/>
      <c r="D91" s="476"/>
      <c r="E91" s="761"/>
      <c r="F91" s="533"/>
      <c r="G91" s="524"/>
      <c r="H91" s="392"/>
      <c r="I91" s="235"/>
      <c r="J91" s="235"/>
      <c r="K91" s="235"/>
      <c r="L91" s="235"/>
      <c r="M91" s="235"/>
      <c r="N91" s="235"/>
      <c r="O91" s="235"/>
      <c r="P91" s="235"/>
      <c r="Q91" s="235"/>
      <c r="R91" s="235"/>
      <c r="S91" s="235"/>
      <c r="T91" s="235"/>
      <c r="U91" s="235"/>
      <c r="V91" s="667"/>
      <c r="W91" s="149"/>
      <c r="X91" s="779"/>
      <c r="Y91" s="559"/>
      <c r="Z91" s="559"/>
      <c r="AA91" s="559"/>
      <c r="AB91" s="559"/>
      <c r="AC91" s="559"/>
      <c r="AD91" s="560"/>
      <c r="AE91" s="560"/>
      <c r="AF91" s="560"/>
      <c r="AG91" s="560"/>
      <c r="AH91" s="560"/>
      <c r="AI91" s="560"/>
      <c r="AJ91" s="560"/>
      <c r="AK91" s="560"/>
      <c r="AL91" s="560"/>
      <c r="AM91" s="783"/>
      <c r="AN91" s="524"/>
      <c r="AO91" s="524"/>
      <c r="AP91" s="524"/>
      <c r="AQ91" s="524"/>
      <c r="AR91" s="524"/>
      <c r="AS91" s="524"/>
      <c r="AT91" s="524"/>
      <c r="AU91" s="524"/>
      <c r="AV91" s="524"/>
      <c r="AW91" s="524"/>
      <c r="AX91" s="524"/>
      <c r="AY91" s="524"/>
      <c r="AZ91" s="524"/>
      <c r="BA91" s="524"/>
      <c r="BB91" s="524"/>
      <c r="BC91" s="524"/>
      <c r="BD91" s="524"/>
    </row>
    <row r="92" spans="1:56" s="6" customFormat="1" ht="11.85" customHeight="1">
      <c r="A92" s="476"/>
      <c r="B92" s="476"/>
      <c r="C92" s="476"/>
      <c r="D92" s="476"/>
      <c r="E92" s="761"/>
      <c r="F92" s="533"/>
      <c r="G92" s="524"/>
      <c r="H92" s="392"/>
      <c r="I92" s="668" t="str">
        <f>IF(ZRB!G70=0,"",""&amp;Kalkulation_Eigenstrom!AP67&amp;"")</f>
        <v/>
      </c>
      <c r="J92" s="235"/>
      <c r="K92" s="235"/>
      <c r="L92" s="235"/>
      <c r="M92" s="235"/>
      <c r="N92" s="235"/>
      <c r="O92" s="235"/>
      <c r="P92" s="235"/>
      <c r="Q92" s="1503" t="str">
        <f>IF(ZRB!G70=0,"",ZRB!G70)</f>
        <v/>
      </c>
      <c r="R92" s="1503"/>
      <c r="S92" s="1503"/>
      <c r="T92" s="1503"/>
      <c r="U92" s="1503"/>
      <c r="V92" s="1504"/>
      <c r="W92" s="149"/>
      <c r="X92" s="776"/>
      <c r="Y92" s="1498" t="str">
        <f>IF(Kalkulation_Eigenstrom!$AN$13=1,"","Kosten des Eigenstromverbrauchs ( je kWh )")</f>
        <v>Kosten des Eigenstromverbrauchs ( je kWh )</v>
      </c>
      <c r="Z92" s="1498"/>
      <c r="AA92" s="1498"/>
      <c r="AB92" s="1498"/>
      <c r="AC92" s="1498"/>
      <c r="AD92" s="1498"/>
      <c r="AE92" s="1498"/>
      <c r="AF92" s="1498"/>
      <c r="AG92" s="1498"/>
      <c r="AH92" s="1498"/>
      <c r="AI92" s="1594" t="str">
        <f>IF(OR(ZRB!G106=1,ZRB!G107=1),"keine anteilige
EEG-Umlage fällig","incl. "&amp;ROUND(ZRB!G113*100,2)&amp;" Ct/kWh
anteil. EEG-Umlage")</f>
        <v>keine anteilige
EEG-Umlage fällig</v>
      </c>
      <c r="AJ92" s="1594"/>
      <c r="AK92" s="1594"/>
      <c r="AL92" s="1594"/>
      <c r="AM92" s="562"/>
      <c r="AN92" s="524"/>
      <c r="AO92" s="524"/>
      <c r="AP92" s="524"/>
      <c r="AQ92" s="524"/>
      <c r="AR92" s="524"/>
      <c r="AS92" s="524"/>
      <c r="AT92" s="524"/>
      <c r="AU92" s="524"/>
      <c r="AV92" s="524"/>
      <c r="AW92" s="524"/>
      <c r="AX92" s="524"/>
      <c r="AY92" s="524"/>
      <c r="AZ92" s="524"/>
      <c r="BA92" s="524"/>
      <c r="BB92" s="524"/>
      <c r="BC92" s="524"/>
      <c r="BD92" s="524"/>
    </row>
    <row r="93" spans="1:56" s="6" customFormat="1" ht="2.4500000000000002" customHeight="1">
      <c r="A93" s="476"/>
      <c r="B93" s="476"/>
      <c r="C93" s="476"/>
      <c r="D93" s="476"/>
      <c r="E93" s="761"/>
      <c r="F93" s="533"/>
      <c r="G93" s="524"/>
      <c r="H93" s="392"/>
      <c r="I93" s="1516" t="s">
        <v>310</v>
      </c>
      <c r="J93" s="1516"/>
      <c r="K93" s="1516"/>
      <c r="L93" s="1516"/>
      <c r="M93" s="1516"/>
      <c r="N93" s="1516"/>
      <c r="O93" s="1516"/>
      <c r="P93" s="1516"/>
      <c r="Q93" s="1516"/>
      <c r="R93" s="235"/>
      <c r="S93" s="235"/>
      <c r="T93" s="235"/>
      <c r="U93" s="235"/>
      <c r="V93" s="667"/>
      <c r="W93" s="149"/>
      <c r="X93" s="776"/>
      <c r="Y93" s="1498"/>
      <c r="Z93" s="1498"/>
      <c r="AA93" s="1498"/>
      <c r="AB93" s="1498"/>
      <c r="AC93" s="1498"/>
      <c r="AD93" s="1498"/>
      <c r="AE93" s="1498"/>
      <c r="AF93" s="1498"/>
      <c r="AG93" s="1498"/>
      <c r="AH93" s="1498"/>
      <c r="AI93" s="1594"/>
      <c r="AJ93" s="1594"/>
      <c r="AK93" s="1594"/>
      <c r="AL93" s="1594"/>
      <c r="AM93" s="562"/>
      <c r="AN93" s="524"/>
      <c r="AO93" s="524"/>
      <c r="AP93" s="524"/>
      <c r="AQ93" s="524"/>
      <c r="AR93" s="524"/>
      <c r="AS93" s="524"/>
      <c r="AT93" s="524"/>
      <c r="AU93" s="524"/>
      <c r="AV93" s="524"/>
      <c r="AW93" s="524"/>
      <c r="AX93" s="524"/>
      <c r="AY93" s="524"/>
      <c r="AZ93" s="524"/>
      <c r="BA93" s="524"/>
      <c r="BB93" s="524"/>
      <c r="BC93" s="524"/>
      <c r="BD93" s="524"/>
    </row>
    <row r="94" spans="1:56" s="6" customFormat="1" ht="11.85" customHeight="1">
      <c r="A94" s="476"/>
      <c r="B94" s="476"/>
      <c r="C94" s="476"/>
      <c r="D94" s="476"/>
      <c r="E94" s="761"/>
      <c r="F94" s="533"/>
      <c r="G94" s="524"/>
      <c r="H94" s="392"/>
      <c r="I94" s="1516"/>
      <c r="J94" s="1516"/>
      <c r="K94" s="1516"/>
      <c r="L94" s="1516"/>
      <c r="M94" s="1516"/>
      <c r="N94" s="1516"/>
      <c r="O94" s="1516"/>
      <c r="P94" s="1516"/>
      <c r="Q94" s="1516"/>
      <c r="R94" s="686"/>
      <c r="S94" s="686"/>
      <c r="T94" s="686"/>
      <c r="U94" s="686"/>
      <c r="V94" s="687"/>
      <c r="W94" s="149"/>
      <c r="X94" s="776"/>
      <c r="Y94" s="1593"/>
      <c r="Z94" s="1593"/>
      <c r="AA94" s="1593"/>
      <c r="AB94" s="1593"/>
      <c r="AC94" s="1593"/>
      <c r="AD94" s="1593"/>
      <c r="AE94" s="1593"/>
      <c r="AF94" s="1593"/>
      <c r="AG94" s="1593"/>
      <c r="AH94" s="1593"/>
      <c r="AI94" s="1595"/>
      <c r="AJ94" s="1595"/>
      <c r="AK94" s="1595"/>
      <c r="AL94" s="1595"/>
      <c r="AM94" s="562"/>
      <c r="AN94" s="524"/>
      <c r="AO94" s="524"/>
      <c r="AP94" s="524"/>
      <c r="AQ94" s="524"/>
      <c r="AR94" s="524"/>
      <c r="AS94" s="524"/>
      <c r="AT94" s="524"/>
      <c r="AU94" s="524"/>
      <c r="AV94" s="524"/>
      <c r="AW94" s="524"/>
      <c r="AX94" s="524"/>
      <c r="AY94" s="524"/>
      <c r="AZ94" s="524"/>
      <c r="BA94" s="524"/>
      <c r="BB94" s="524"/>
      <c r="BC94" s="524"/>
      <c r="BD94" s="524"/>
    </row>
    <row r="95" spans="1:56" s="6" customFormat="1" ht="2.4500000000000002" customHeight="1">
      <c r="A95" s="476"/>
      <c r="B95" s="476"/>
      <c r="C95" s="476"/>
      <c r="D95" s="476"/>
      <c r="E95" s="761"/>
      <c r="F95" s="533"/>
      <c r="G95" s="524"/>
      <c r="H95" s="392"/>
      <c r="I95" s="235"/>
      <c r="J95" s="235"/>
      <c r="K95" s="235"/>
      <c r="L95" s="235"/>
      <c r="M95" s="235"/>
      <c r="N95" s="235"/>
      <c r="O95" s="235"/>
      <c r="P95" s="235"/>
      <c r="Q95" s="235"/>
      <c r="R95" s="235"/>
      <c r="S95" s="235"/>
      <c r="T95" s="235"/>
      <c r="U95" s="235"/>
      <c r="V95" s="667"/>
      <c r="W95" s="149"/>
      <c r="X95" s="766"/>
      <c r="Y95" s="1543" t="str">
        <f>IF(Kalkulation_Eigenstrom!$AN$13=1,"Bei Dachanlagen größer 300 kWp werden ab IB: APR21 lediglich die Vollkosten ausgewiesen !",IF(ZRB!G5=1,"","Beim geplanten Eigenstromverbrauch von "&amp;ROUND(ZRB!I31,2)*100&amp;"% und einer 
Kapitalverzinsung von "&amp;ROUND(ZRB!F58*100,1)&amp;"% liegen die Kosten des Eigen-
stromverbrauchs bei (["&amp;ROUND(ZRB!G87,0)&amp;" € / "&amp;ROUND(ZRB!G30,0)&amp;" kWh]+"&amp;ROUND(ZRB!G113*100,2)&amp;" Ct/kWh):"))</f>
        <v/>
      </c>
      <c r="Z95" s="1544"/>
      <c r="AA95" s="1544"/>
      <c r="AB95" s="1544"/>
      <c r="AC95" s="1544"/>
      <c r="AD95" s="1544"/>
      <c r="AE95" s="1544"/>
      <c r="AF95" s="1544"/>
      <c r="AG95" s="1544"/>
      <c r="AH95" s="1545"/>
      <c r="AI95" s="1510" t="str">
        <f>IF(Kalkulation_Eigenstrom!$AN$13=1,"",IF(ZRB!G5=1,"","1 kWh Eigenstrom kostet:"))</f>
        <v/>
      </c>
      <c r="AJ95" s="1511"/>
      <c r="AK95" s="1511"/>
      <c r="AL95" s="1512"/>
      <c r="AM95" s="434"/>
      <c r="AN95" s="524"/>
      <c r="AO95" s="524"/>
      <c r="AP95" s="524"/>
      <c r="AQ95" s="524"/>
      <c r="AR95" s="524"/>
      <c r="AS95" s="524"/>
      <c r="AT95" s="524"/>
      <c r="AU95" s="524"/>
      <c r="AV95" s="524"/>
      <c r="AW95" s="524"/>
      <c r="AX95" s="524"/>
      <c r="AY95" s="524"/>
      <c r="AZ95" s="524"/>
      <c r="BA95" s="524"/>
      <c r="BB95" s="524"/>
      <c r="BC95" s="524"/>
      <c r="BD95" s="524"/>
    </row>
    <row r="96" spans="1:56" s="6" customFormat="1" ht="11.85" customHeight="1">
      <c r="A96" s="476"/>
      <c r="B96" s="476"/>
      <c r="C96" s="476"/>
      <c r="D96" s="476"/>
      <c r="E96" s="761"/>
      <c r="F96" s="533"/>
      <c r="G96" s="524"/>
      <c r="H96" s="392"/>
      <c r="I96" s="668" t="str">
        <f>IF(ZRB!G72=0,"",""&amp;Kalkulation_Eigenstrom!AP71&amp;"")</f>
        <v/>
      </c>
      <c r="J96" s="235"/>
      <c r="K96" s="235"/>
      <c r="L96" s="235"/>
      <c r="M96" s="235"/>
      <c r="N96" s="235"/>
      <c r="O96" s="235"/>
      <c r="P96" s="235"/>
      <c r="Q96" s="1503" t="str">
        <f>IF(ZRB!G72=0,"",ZRB!G72)</f>
        <v/>
      </c>
      <c r="R96" s="1503"/>
      <c r="S96" s="1503"/>
      <c r="T96" s="1503"/>
      <c r="U96" s="1503"/>
      <c r="V96" s="1504"/>
      <c r="W96" s="149"/>
      <c r="X96" s="766"/>
      <c r="Y96" s="1546"/>
      <c r="Z96" s="1547"/>
      <c r="AA96" s="1547"/>
      <c r="AB96" s="1547"/>
      <c r="AC96" s="1547"/>
      <c r="AD96" s="1547"/>
      <c r="AE96" s="1547"/>
      <c r="AF96" s="1547"/>
      <c r="AG96" s="1547"/>
      <c r="AH96" s="1548"/>
      <c r="AI96" s="1513"/>
      <c r="AJ96" s="1313"/>
      <c r="AK96" s="1313"/>
      <c r="AL96" s="1514"/>
      <c r="AM96" s="434"/>
      <c r="AN96" s="524"/>
      <c r="AO96" s="524"/>
      <c r="AP96" s="524"/>
      <c r="AQ96" s="524"/>
      <c r="AR96" s="524"/>
      <c r="AS96" s="524"/>
      <c r="AT96" s="524"/>
      <c r="AU96" s="524"/>
      <c r="AV96" s="524"/>
      <c r="AW96" s="524"/>
      <c r="AX96" s="524"/>
      <c r="AY96" s="524"/>
      <c r="AZ96" s="524"/>
      <c r="BA96" s="524"/>
      <c r="BB96" s="524"/>
      <c r="BC96" s="524"/>
      <c r="BD96" s="524"/>
    </row>
    <row r="97" spans="1:56" s="6" customFormat="1" ht="2.4500000000000002" customHeight="1">
      <c r="A97" s="476"/>
      <c r="B97" s="476"/>
      <c r="C97" s="476"/>
      <c r="D97" s="476"/>
      <c r="E97" s="761"/>
      <c r="F97" s="533"/>
      <c r="G97" s="524"/>
      <c r="H97" s="392"/>
      <c r="I97" s="235"/>
      <c r="J97" s="235"/>
      <c r="K97" s="235"/>
      <c r="L97" s="235"/>
      <c r="M97" s="235"/>
      <c r="N97" s="235"/>
      <c r="O97" s="235"/>
      <c r="P97" s="235"/>
      <c r="Q97" s="235"/>
      <c r="R97" s="235"/>
      <c r="S97" s="235"/>
      <c r="T97" s="235"/>
      <c r="U97" s="235"/>
      <c r="V97" s="667"/>
      <c r="W97" s="149"/>
      <c r="X97" s="766"/>
      <c r="Y97" s="1546"/>
      <c r="Z97" s="1547"/>
      <c r="AA97" s="1547"/>
      <c r="AB97" s="1547"/>
      <c r="AC97" s="1547"/>
      <c r="AD97" s="1547"/>
      <c r="AE97" s="1547"/>
      <c r="AF97" s="1547"/>
      <c r="AG97" s="1547"/>
      <c r="AH97" s="1548"/>
      <c r="AI97" s="1553" t="str">
        <f>IF(Kalkulation_Eigenstrom!$AN$13=1,"",IF(ZRB!G33=1,"",IF(ZRB!G5=1,"",ZRB!G114*100)))</f>
        <v/>
      </c>
      <c r="AJ97" s="1554"/>
      <c r="AK97" s="1554"/>
      <c r="AL97" s="1555"/>
      <c r="AM97" s="434"/>
      <c r="AN97" s="524"/>
      <c r="AO97" s="524"/>
      <c r="AP97" s="524"/>
      <c r="AQ97" s="524"/>
      <c r="AR97" s="524"/>
      <c r="AS97" s="524"/>
      <c r="AT97" s="524"/>
      <c r="AU97" s="524"/>
      <c r="AV97" s="524"/>
      <c r="AW97" s="524"/>
      <c r="AX97" s="524"/>
      <c r="AY97" s="524"/>
      <c r="AZ97" s="524"/>
      <c r="BA97" s="524"/>
      <c r="BB97" s="524"/>
      <c r="BC97" s="524"/>
      <c r="BD97" s="524"/>
    </row>
    <row r="98" spans="1:56" s="6" customFormat="1" ht="11.85" customHeight="1">
      <c r="A98" s="476"/>
      <c r="B98" s="476"/>
      <c r="C98" s="476"/>
      <c r="D98" s="476"/>
      <c r="E98" s="761"/>
      <c r="F98" s="533"/>
      <c r="G98" s="524"/>
      <c r="H98" s="392"/>
      <c r="I98" s="668" t="str">
        <f>IF(ZRB!G73=0,"",""&amp;Kalkulation_Eigenstrom!AP73&amp;"")</f>
        <v/>
      </c>
      <c r="J98" s="235"/>
      <c r="K98" s="235"/>
      <c r="L98" s="235"/>
      <c r="M98" s="235"/>
      <c r="N98" s="235"/>
      <c r="O98" s="235"/>
      <c r="P98" s="235"/>
      <c r="Q98" s="1503" t="str">
        <f>IF(ZRB!G73=0,"",ZRB!G73)</f>
        <v/>
      </c>
      <c r="R98" s="1503"/>
      <c r="S98" s="1503"/>
      <c r="T98" s="1503"/>
      <c r="U98" s="1503"/>
      <c r="V98" s="1504"/>
      <c r="W98" s="466"/>
      <c r="X98" s="766"/>
      <c r="Y98" s="1546"/>
      <c r="Z98" s="1547"/>
      <c r="AA98" s="1547"/>
      <c r="AB98" s="1547"/>
      <c r="AC98" s="1547"/>
      <c r="AD98" s="1547"/>
      <c r="AE98" s="1547"/>
      <c r="AF98" s="1547"/>
      <c r="AG98" s="1547"/>
      <c r="AH98" s="1548"/>
      <c r="AI98" s="1553"/>
      <c r="AJ98" s="1554"/>
      <c r="AK98" s="1554"/>
      <c r="AL98" s="1555"/>
      <c r="AM98" s="434"/>
      <c r="AN98" s="524"/>
      <c r="AO98" s="524"/>
      <c r="AP98" s="524"/>
      <c r="AQ98" s="524"/>
      <c r="AR98" s="524"/>
      <c r="AS98" s="524"/>
      <c r="AT98" s="524"/>
      <c r="AU98" s="524"/>
      <c r="AV98" s="524"/>
      <c r="AW98" s="524"/>
      <c r="AX98" s="524"/>
      <c r="AY98" s="524"/>
      <c r="AZ98" s="524"/>
      <c r="BA98" s="524"/>
      <c r="BB98" s="524"/>
      <c r="BC98" s="524"/>
      <c r="BD98" s="524"/>
    </row>
    <row r="99" spans="1:56" s="6" customFormat="1" ht="2.4500000000000002" customHeight="1">
      <c r="A99" s="476"/>
      <c r="B99" s="476"/>
      <c r="C99" s="476"/>
      <c r="D99" s="476"/>
      <c r="E99" s="761"/>
      <c r="F99" s="533"/>
      <c r="G99" s="524"/>
      <c r="H99" s="392"/>
      <c r="I99" s="235"/>
      <c r="J99" s="235"/>
      <c r="K99" s="235"/>
      <c r="L99" s="235"/>
      <c r="M99" s="235"/>
      <c r="N99" s="235"/>
      <c r="O99" s="235"/>
      <c r="P99" s="235"/>
      <c r="Q99" s="235"/>
      <c r="R99" s="235"/>
      <c r="S99" s="235"/>
      <c r="T99" s="235"/>
      <c r="U99" s="235"/>
      <c r="V99" s="667"/>
      <c r="W99" s="149"/>
      <c r="X99" s="766"/>
      <c r="Y99" s="1546"/>
      <c r="Z99" s="1547"/>
      <c r="AA99" s="1547"/>
      <c r="AB99" s="1547"/>
      <c r="AC99" s="1547"/>
      <c r="AD99" s="1547"/>
      <c r="AE99" s="1547"/>
      <c r="AF99" s="1547"/>
      <c r="AG99" s="1547"/>
      <c r="AH99" s="1548"/>
      <c r="AI99" s="1553"/>
      <c r="AJ99" s="1554"/>
      <c r="AK99" s="1554"/>
      <c r="AL99" s="1555"/>
      <c r="AM99" s="434"/>
      <c r="AN99" s="524"/>
      <c r="AO99" s="524"/>
      <c r="AP99" s="524"/>
      <c r="AQ99" s="524"/>
      <c r="AR99" s="524"/>
      <c r="AS99" s="524"/>
      <c r="AT99" s="524"/>
      <c r="AU99" s="524"/>
      <c r="AV99" s="524"/>
      <c r="AW99" s="524"/>
      <c r="AX99" s="524"/>
      <c r="AY99" s="524"/>
      <c r="AZ99" s="524"/>
      <c r="BA99" s="524"/>
      <c r="BB99" s="524"/>
      <c r="BC99" s="524"/>
      <c r="BD99" s="524"/>
    </row>
    <row r="100" spans="1:56" s="6" customFormat="1" ht="11.85" customHeight="1">
      <c r="A100" s="476"/>
      <c r="B100" s="476"/>
      <c r="C100" s="476"/>
      <c r="D100" s="476"/>
      <c r="E100" s="761"/>
      <c r="F100" s="533"/>
      <c r="G100" s="524"/>
      <c r="H100" s="392"/>
      <c r="I100" s="668" t="str">
        <f>IF(ZRB!G74=0,"",""&amp;Kalkulation_Eigenstrom!AP75&amp;"")</f>
        <v/>
      </c>
      <c r="J100" s="235"/>
      <c r="K100" s="235"/>
      <c r="L100" s="235"/>
      <c r="M100" s="235"/>
      <c r="N100" s="235"/>
      <c r="O100" s="235"/>
      <c r="P100" s="235"/>
      <c r="Q100" s="1503" t="str">
        <f>IF(ZRB!G74=0,"",ZRB!G74)</f>
        <v/>
      </c>
      <c r="R100" s="1503"/>
      <c r="S100" s="1503"/>
      <c r="T100" s="1503"/>
      <c r="U100" s="1503"/>
      <c r="V100" s="1504"/>
      <c r="W100" s="149"/>
      <c r="X100" s="766"/>
      <c r="Y100" s="1549"/>
      <c r="Z100" s="1550"/>
      <c r="AA100" s="1550"/>
      <c r="AB100" s="1550"/>
      <c r="AC100" s="1550"/>
      <c r="AD100" s="1550"/>
      <c r="AE100" s="1550"/>
      <c r="AF100" s="1550"/>
      <c r="AG100" s="1550"/>
      <c r="AH100" s="1551"/>
      <c r="AI100" s="1556"/>
      <c r="AJ100" s="1557"/>
      <c r="AK100" s="1557"/>
      <c r="AL100" s="1558"/>
      <c r="AM100" s="434"/>
      <c r="AN100" s="524"/>
      <c r="AO100" s="524"/>
      <c r="AP100" s="524"/>
      <c r="AQ100" s="524"/>
      <c r="AR100" s="524"/>
      <c r="AS100" s="524"/>
      <c r="AT100" s="524"/>
      <c r="AU100" s="524"/>
      <c r="AV100" s="524"/>
      <c r="AW100" s="524"/>
      <c r="AX100" s="524"/>
      <c r="AY100" s="524"/>
      <c r="AZ100" s="524"/>
      <c r="BA100" s="524"/>
      <c r="BB100" s="524"/>
      <c r="BC100" s="524"/>
      <c r="BD100" s="524"/>
    </row>
    <row r="101" spans="1:56" s="6" customFormat="1" ht="2.4500000000000002" customHeight="1">
      <c r="A101" s="476"/>
      <c r="B101" s="476"/>
      <c r="C101" s="476"/>
      <c r="D101" s="476"/>
      <c r="E101" s="761"/>
      <c r="F101" s="533"/>
      <c r="G101" s="524"/>
      <c r="H101" s="392"/>
      <c r="I101" s="1516" t="s">
        <v>311</v>
      </c>
      <c r="J101" s="1516"/>
      <c r="K101" s="1516"/>
      <c r="L101" s="1516"/>
      <c r="M101" s="1516"/>
      <c r="N101" s="1516"/>
      <c r="O101" s="1516"/>
      <c r="P101" s="1516"/>
      <c r="Q101" s="235"/>
      <c r="R101" s="235"/>
      <c r="S101" s="235"/>
      <c r="T101" s="235"/>
      <c r="U101" s="235"/>
      <c r="V101" s="667"/>
      <c r="W101" s="149"/>
      <c r="X101" s="766"/>
      <c r="Y101" s="1559" t="str">
        <f>IF(ZRB!G5=1,"","Die Vollkosten der PV-Stromerzeugung liegen bei
(["&amp;ROUND(ZRB!G80,0)&amp;" € / "&amp;ROUND(ZRB!G23,0)&amp;" kWh] = "&amp;ROUND((ZRB!G80)/(ZRB!G23)*100,2)&amp;" + "&amp;ROUND(ZRB!G113*100,2)&amp;" = "&amp;ROUND(ZRB!G117*100,2)&amp;" Cent/kWh):")</f>
        <v/>
      </c>
      <c r="Z101" s="1560"/>
      <c r="AA101" s="1560"/>
      <c r="AB101" s="1560"/>
      <c r="AC101" s="1560"/>
      <c r="AD101" s="1560"/>
      <c r="AE101" s="1560"/>
      <c r="AF101" s="1560"/>
      <c r="AG101" s="1560"/>
      <c r="AH101" s="1561"/>
      <c r="AI101" s="1533" t="str">
        <f>IF(ZRB!G5=1,"",ROUND(Grafik_Kosten!K32*100,2))</f>
        <v/>
      </c>
      <c r="AJ101" s="1534"/>
      <c r="AK101" s="1534"/>
      <c r="AL101" s="1535"/>
      <c r="AM101" s="434"/>
      <c r="AN101" s="524"/>
      <c r="AO101" s="524"/>
      <c r="AP101" s="524"/>
      <c r="AQ101" s="524"/>
      <c r="AR101" s="524"/>
      <c r="AS101" s="524"/>
      <c r="AT101" s="524"/>
      <c r="AU101" s="524"/>
      <c r="AV101" s="524"/>
      <c r="AW101" s="524"/>
      <c r="AX101" s="524"/>
      <c r="AY101" s="524"/>
      <c r="AZ101" s="524"/>
      <c r="BA101" s="524"/>
      <c r="BB101" s="524"/>
      <c r="BC101" s="524"/>
      <c r="BD101" s="524"/>
    </row>
    <row r="102" spans="1:56" s="6" customFormat="1" ht="11.85" customHeight="1">
      <c r="A102" s="476"/>
      <c r="B102" s="476"/>
      <c r="C102" s="476"/>
      <c r="D102" s="476"/>
      <c r="E102" s="761"/>
      <c r="F102" s="533"/>
      <c r="G102" s="645"/>
      <c r="H102" s="392"/>
      <c r="I102" s="1516"/>
      <c r="J102" s="1516"/>
      <c r="K102" s="1516"/>
      <c r="L102" s="1516"/>
      <c r="M102" s="1516"/>
      <c r="N102" s="1516"/>
      <c r="O102" s="1516"/>
      <c r="P102" s="1516"/>
      <c r="Q102" s="686"/>
      <c r="R102" s="686"/>
      <c r="S102" s="686"/>
      <c r="T102" s="686"/>
      <c r="U102" s="686"/>
      <c r="V102" s="687"/>
      <c r="W102" s="149"/>
      <c r="X102" s="766"/>
      <c r="Y102" s="1562"/>
      <c r="Z102" s="1563"/>
      <c r="AA102" s="1563"/>
      <c r="AB102" s="1563"/>
      <c r="AC102" s="1563"/>
      <c r="AD102" s="1563"/>
      <c r="AE102" s="1563"/>
      <c r="AF102" s="1563"/>
      <c r="AG102" s="1563"/>
      <c r="AH102" s="1564"/>
      <c r="AI102" s="1536"/>
      <c r="AJ102" s="1537"/>
      <c r="AK102" s="1537"/>
      <c r="AL102" s="1538"/>
      <c r="AM102" s="434"/>
      <c r="AN102" s="524"/>
      <c r="AO102" s="524"/>
      <c r="AP102" s="524"/>
      <c r="AQ102" s="524"/>
      <c r="AR102" s="524"/>
      <c r="AS102" s="524"/>
      <c r="AT102" s="524"/>
      <c r="AU102" s="524"/>
      <c r="AV102" s="524"/>
      <c r="AW102" s="524"/>
      <c r="AX102" s="524"/>
      <c r="AY102" s="524"/>
      <c r="AZ102" s="524"/>
      <c r="BA102" s="524"/>
      <c r="BB102" s="524"/>
      <c r="BC102" s="524"/>
      <c r="BD102" s="524"/>
    </row>
    <row r="103" spans="1:56" s="6" customFormat="1" ht="2.4500000000000002" customHeight="1">
      <c r="A103" s="476"/>
      <c r="B103" s="476"/>
      <c r="C103" s="476"/>
      <c r="D103" s="476"/>
      <c r="E103" s="761"/>
      <c r="F103" s="533"/>
      <c r="G103" s="524"/>
      <c r="H103" s="392"/>
      <c r="I103" s="235"/>
      <c r="J103" s="235"/>
      <c r="K103" s="235"/>
      <c r="L103" s="235"/>
      <c r="M103" s="235"/>
      <c r="N103" s="235"/>
      <c r="O103" s="235"/>
      <c r="P103" s="235"/>
      <c r="Q103" s="235"/>
      <c r="R103" s="235"/>
      <c r="S103" s="235"/>
      <c r="T103" s="235"/>
      <c r="U103" s="235"/>
      <c r="V103" s="667"/>
      <c r="W103" s="149"/>
      <c r="X103" s="766"/>
      <c r="Y103" s="1562"/>
      <c r="Z103" s="1563"/>
      <c r="AA103" s="1563"/>
      <c r="AB103" s="1563"/>
      <c r="AC103" s="1563"/>
      <c r="AD103" s="1563"/>
      <c r="AE103" s="1563"/>
      <c r="AF103" s="1563"/>
      <c r="AG103" s="1563"/>
      <c r="AH103" s="1564"/>
      <c r="AI103" s="1536"/>
      <c r="AJ103" s="1537"/>
      <c r="AK103" s="1537"/>
      <c r="AL103" s="1538"/>
      <c r="AM103" s="434"/>
      <c r="AN103" s="524"/>
      <c r="AO103" s="524"/>
      <c r="AP103" s="524"/>
      <c r="AQ103" s="524"/>
      <c r="AR103" s="524"/>
      <c r="AS103" s="524"/>
      <c r="AT103" s="524"/>
      <c r="AU103" s="524"/>
      <c r="AV103" s="524"/>
      <c r="AW103" s="524"/>
      <c r="AX103" s="524"/>
      <c r="AY103" s="524"/>
      <c r="AZ103" s="524"/>
      <c r="BA103" s="524"/>
      <c r="BB103" s="524"/>
      <c r="BC103" s="524"/>
      <c r="BD103" s="524"/>
    </row>
    <row r="104" spans="1:56" s="6" customFormat="1" ht="11.85" customHeight="1">
      <c r="A104" s="476"/>
      <c r="B104" s="476"/>
      <c r="C104" s="476"/>
      <c r="D104" s="476"/>
      <c r="E104" s="761"/>
      <c r="F104" s="533"/>
      <c r="G104" s="524"/>
      <c r="H104" s="392"/>
      <c r="I104" s="668" t="str">
        <f>IF(ZRB!G76=0,"",""&amp;Kalkulation_Eigenstrom!AP79&amp;"")</f>
        <v/>
      </c>
      <c r="J104" s="235"/>
      <c r="K104" s="235"/>
      <c r="L104" s="235"/>
      <c r="M104" s="235"/>
      <c r="N104" s="235"/>
      <c r="O104" s="235"/>
      <c r="P104" s="235"/>
      <c r="Q104" s="1503" t="str">
        <f>IF(ZRB!G76=0,"",ZRB!G76)</f>
        <v/>
      </c>
      <c r="R104" s="1503"/>
      <c r="S104" s="1503"/>
      <c r="T104" s="1503"/>
      <c r="U104" s="1503"/>
      <c r="V104" s="1504"/>
      <c r="W104" s="149"/>
      <c r="X104" s="766"/>
      <c r="Y104" s="1565"/>
      <c r="Z104" s="1566"/>
      <c r="AA104" s="1566"/>
      <c r="AB104" s="1566"/>
      <c r="AC104" s="1566"/>
      <c r="AD104" s="1566"/>
      <c r="AE104" s="1566"/>
      <c r="AF104" s="1566"/>
      <c r="AG104" s="1566"/>
      <c r="AH104" s="1567"/>
      <c r="AI104" s="1539"/>
      <c r="AJ104" s="1540"/>
      <c r="AK104" s="1540"/>
      <c r="AL104" s="1541"/>
      <c r="AM104" s="434"/>
      <c r="AN104" s="524"/>
      <c r="AO104" s="524"/>
      <c r="AP104" s="524"/>
      <c r="AQ104" s="524"/>
      <c r="AR104" s="524"/>
      <c r="AS104" s="524"/>
      <c r="AT104" s="524"/>
      <c r="AU104" s="524"/>
      <c r="AV104" s="524"/>
      <c r="AW104" s="524"/>
      <c r="AX104" s="524"/>
      <c r="AY104" s="524"/>
      <c r="AZ104" s="524"/>
      <c r="BA104" s="524"/>
      <c r="BB104" s="524"/>
      <c r="BC104" s="524"/>
      <c r="BD104" s="524"/>
    </row>
    <row r="105" spans="1:56" s="6" customFormat="1" ht="2.4500000000000002" customHeight="1">
      <c r="A105" s="476"/>
      <c r="B105" s="476"/>
      <c r="C105" s="476"/>
      <c r="D105" s="476"/>
      <c r="E105" s="761"/>
      <c r="F105" s="533"/>
      <c r="G105" s="524"/>
      <c r="H105" s="392"/>
      <c r="I105" s="235"/>
      <c r="J105" s="235"/>
      <c r="K105" s="235"/>
      <c r="L105" s="235"/>
      <c r="M105" s="235"/>
      <c r="N105" s="235"/>
      <c r="O105" s="235"/>
      <c r="P105" s="235"/>
      <c r="Q105" s="235"/>
      <c r="R105" s="235"/>
      <c r="S105" s="235"/>
      <c r="T105" s="235"/>
      <c r="U105" s="235"/>
      <c r="V105" s="667"/>
      <c r="W105" s="149"/>
      <c r="X105" s="766"/>
      <c r="Y105" s="785"/>
      <c r="Z105" s="785"/>
      <c r="AA105" s="785"/>
      <c r="AB105" s="785"/>
      <c r="AC105" s="785"/>
      <c r="AD105" s="785"/>
      <c r="AE105" s="785"/>
      <c r="AF105" s="785"/>
      <c r="AG105" s="785"/>
      <c r="AH105" s="785"/>
      <c r="AI105" s="786"/>
      <c r="AJ105" s="786"/>
      <c r="AK105" s="786"/>
      <c r="AL105" s="786"/>
      <c r="AM105" s="434"/>
      <c r="AN105" s="524"/>
      <c r="AO105" s="524"/>
      <c r="AP105" s="524"/>
      <c r="AQ105" s="524"/>
      <c r="AR105" s="524"/>
      <c r="AS105" s="524"/>
      <c r="AT105" s="524"/>
      <c r="AU105" s="524"/>
      <c r="AV105" s="524"/>
      <c r="AW105" s="524"/>
      <c r="AX105" s="524"/>
      <c r="AY105" s="524"/>
      <c r="AZ105" s="524"/>
      <c r="BA105" s="524"/>
      <c r="BB105" s="524"/>
      <c r="BC105" s="524"/>
      <c r="BD105" s="524"/>
    </row>
    <row r="106" spans="1:56" s="6" customFormat="1" ht="11.85" customHeight="1">
      <c r="A106" s="476"/>
      <c r="B106" s="476"/>
      <c r="C106" s="476"/>
      <c r="D106" s="476"/>
      <c r="E106" s="761"/>
      <c r="F106" s="533"/>
      <c r="G106" s="524"/>
      <c r="H106" s="392"/>
      <c r="I106" s="668" t="str">
        <f>IF(ZRB!G77=0,"",""&amp;Kalkulation_Eigenstrom!AP81&amp;"")</f>
        <v/>
      </c>
      <c r="J106" s="235"/>
      <c r="K106" s="235"/>
      <c r="L106" s="235"/>
      <c r="M106" s="235"/>
      <c r="N106" s="235"/>
      <c r="O106" s="235"/>
      <c r="P106" s="235"/>
      <c r="Q106" s="1503" t="str">
        <f>IF(ZRB!G77=0,"",ZRB!G77)</f>
        <v/>
      </c>
      <c r="R106" s="1503"/>
      <c r="S106" s="1503"/>
      <c r="T106" s="1503"/>
      <c r="U106" s="1503"/>
      <c r="V106" s="1504"/>
      <c r="W106" s="149"/>
      <c r="X106" s="773"/>
      <c r="Y106" s="1620" t="s">
        <v>320</v>
      </c>
      <c r="Z106" s="1620"/>
      <c r="AA106" s="1620"/>
      <c r="AB106" s="1620"/>
      <c r="AC106" s="1620"/>
      <c r="AD106" s="1620"/>
      <c r="AE106" s="1620"/>
      <c r="AF106" s="1620"/>
      <c r="AG106" s="1620"/>
      <c r="AH106" s="1620"/>
      <c r="AI106" s="1620"/>
      <c r="AJ106" s="1620"/>
      <c r="AK106" s="1620"/>
      <c r="AL106" s="1620"/>
      <c r="AM106" s="434"/>
      <c r="AN106" s="524"/>
      <c r="AO106" s="524"/>
      <c r="AP106" s="524"/>
      <c r="AQ106" s="524"/>
      <c r="AR106" s="524"/>
      <c r="AS106" s="524"/>
      <c r="AT106" s="524"/>
      <c r="AU106" s="524"/>
      <c r="AV106" s="524"/>
      <c r="AW106" s="524"/>
      <c r="AX106" s="524"/>
      <c r="AY106" s="524"/>
      <c r="AZ106" s="524"/>
      <c r="BA106" s="524"/>
      <c r="BB106" s="524"/>
      <c r="BC106" s="524"/>
      <c r="BD106" s="524"/>
    </row>
    <row r="107" spans="1:56" s="6" customFormat="1" ht="2.4500000000000002" customHeight="1">
      <c r="A107" s="476"/>
      <c r="B107" s="476"/>
      <c r="C107" s="476"/>
      <c r="D107" s="476"/>
      <c r="E107" s="761"/>
      <c r="F107" s="533"/>
      <c r="G107" s="524"/>
      <c r="H107" s="392"/>
      <c r="I107" s="235"/>
      <c r="J107" s="235"/>
      <c r="K107" s="235"/>
      <c r="L107" s="235"/>
      <c r="M107" s="235"/>
      <c r="N107" s="235"/>
      <c r="O107" s="235"/>
      <c r="P107" s="235"/>
      <c r="Q107" s="235"/>
      <c r="R107" s="235"/>
      <c r="S107" s="235"/>
      <c r="T107" s="235"/>
      <c r="U107" s="235"/>
      <c r="V107" s="667"/>
      <c r="W107" s="149"/>
      <c r="X107" s="773"/>
      <c r="Y107" s="1620"/>
      <c r="Z107" s="1620"/>
      <c r="AA107" s="1620"/>
      <c r="AB107" s="1620"/>
      <c r="AC107" s="1620"/>
      <c r="AD107" s="1620"/>
      <c r="AE107" s="1620"/>
      <c r="AF107" s="1620"/>
      <c r="AG107" s="1620"/>
      <c r="AH107" s="1620"/>
      <c r="AI107" s="1620"/>
      <c r="AJ107" s="1620"/>
      <c r="AK107" s="1620"/>
      <c r="AL107" s="1620"/>
      <c r="AM107" s="434"/>
      <c r="AN107" s="524"/>
      <c r="AO107" s="524"/>
      <c r="AP107" s="524"/>
      <c r="AQ107" s="524"/>
      <c r="AR107" s="524"/>
      <c r="AS107" s="524"/>
      <c r="AT107" s="524"/>
      <c r="AU107" s="524"/>
      <c r="AV107" s="524"/>
      <c r="AW107" s="524"/>
      <c r="AX107" s="524"/>
      <c r="AY107" s="524"/>
      <c r="AZ107" s="524"/>
      <c r="BA107" s="524"/>
      <c r="BB107" s="524"/>
      <c r="BC107" s="524"/>
      <c r="BD107" s="524"/>
    </row>
    <row r="108" spans="1:56" ht="11.85" customHeight="1">
      <c r="A108" s="476"/>
      <c r="B108" s="476"/>
      <c r="C108" s="476"/>
      <c r="D108" s="476"/>
      <c r="E108" s="761"/>
      <c r="F108" s="533"/>
      <c r="G108" s="524"/>
      <c r="H108" s="392"/>
      <c r="I108" s="668" t="str">
        <f>IF(ZRB!G78=0,"",""&amp;Kalkulation_Eigenstrom!AP83&amp;"")</f>
        <v/>
      </c>
      <c r="J108" s="235"/>
      <c r="K108" s="235"/>
      <c r="L108" s="235"/>
      <c r="M108" s="235"/>
      <c r="N108" s="235"/>
      <c r="O108" s="235"/>
      <c r="P108" s="235"/>
      <c r="Q108" s="1503" t="str">
        <f>IF(ZRB!G78=0,"",ZRB!G78)</f>
        <v/>
      </c>
      <c r="R108" s="1503"/>
      <c r="S108" s="1503"/>
      <c r="T108" s="1503"/>
      <c r="U108" s="1503"/>
      <c r="V108" s="1504"/>
      <c r="W108" s="149"/>
      <c r="X108" s="773"/>
      <c r="Y108" s="1620"/>
      <c r="Z108" s="1620"/>
      <c r="AA108" s="1620"/>
      <c r="AB108" s="1620"/>
      <c r="AC108" s="1620"/>
      <c r="AD108" s="1620"/>
      <c r="AE108" s="1620"/>
      <c r="AF108" s="1620"/>
      <c r="AG108" s="1620"/>
      <c r="AH108" s="1620"/>
      <c r="AI108" s="1620"/>
      <c r="AJ108" s="1620"/>
      <c r="AK108" s="1620"/>
      <c r="AL108" s="1620"/>
      <c r="AM108" s="434"/>
      <c r="AN108" s="524"/>
      <c r="AO108" s="524"/>
      <c r="AP108" s="524"/>
      <c r="AQ108" s="524"/>
      <c r="AR108" s="524"/>
      <c r="AS108" s="524"/>
      <c r="AT108" s="524"/>
      <c r="AU108" s="524"/>
      <c r="AV108" s="524"/>
      <c r="AW108" s="524"/>
      <c r="AX108" s="524"/>
      <c r="AY108" s="524"/>
      <c r="AZ108" s="524"/>
      <c r="BA108" s="524"/>
      <c r="BB108" s="524"/>
      <c r="BC108" s="524"/>
      <c r="BD108" s="524"/>
    </row>
    <row r="109" spans="1:56" s="6" customFormat="1" ht="2.4500000000000002" customHeight="1">
      <c r="A109" s="476"/>
      <c r="B109" s="476"/>
      <c r="C109" s="476"/>
      <c r="D109" s="476"/>
      <c r="E109" s="761"/>
      <c r="F109" s="533"/>
      <c r="G109" s="524"/>
      <c r="H109" s="260"/>
      <c r="I109" s="261"/>
      <c r="J109" s="261"/>
      <c r="K109" s="261"/>
      <c r="L109" s="261"/>
      <c r="M109" s="261"/>
      <c r="N109" s="261"/>
      <c r="O109" s="261"/>
      <c r="P109" s="262"/>
      <c r="Q109" s="262"/>
      <c r="R109" s="262"/>
      <c r="S109" s="262"/>
      <c r="T109" s="262"/>
      <c r="U109" s="262"/>
      <c r="V109" s="263"/>
      <c r="W109" s="149"/>
      <c r="X109" s="773"/>
      <c r="Y109" s="1620"/>
      <c r="Z109" s="1620"/>
      <c r="AA109" s="1620"/>
      <c r="AB109" s="1620"/>
      <c r="AC109" s="1620"/>
      <c r="AD109" s="1620"/>
      <c r="AE109" s="1620"/>
      <c r="AF109" s="1620"/>
      <c r="AG109" s="1620"/>
      <c r="AH109" s="1620"/>
      <c r="AI109" s="1620"/>
      <c r="AJ109" s="1620"/>
      <c r="AK109" s="1620"/>
      <c r="AL109" s="1620"/>
      <c r="AM109" s="434"/>
      <c r="AN109" s="524"/>
      <c r="AO109" s="524"/>
      <c r="AP109" s="524"/>
      <c r="AQ109" s="524"/>
      <c r="AR109" s="524"/>
      <c r="AS109" s="524"/>
      <c r="AT109" s="524"/>
      <c r="AU109" s="524"/>
      <c r="AV109" s="524"/>
      <c r="AW109" s="524"/>
      <c r="AX109" s="524"/>
      <c r="AY109" s="524"/>
      <c r="AZ109" s="524"/>
      <c r="BA109" s="524"/>
      <c r="BB109" s="524"/>
      <c r="BC109" s="524"/>
      <c r="BD109" s="524"/>
    </row>
    <row r="110" spans="1:56" s="6" customFormat="1" ht="11.85" customHeight="1">
      <c r="A110" s="476"/>
      <c r="B110" s="476"/>
      <c r="C110" s="476"/>
      <c r="D110" s="476"/>
      <c r="E110" s="761"/>
      <c r="F110" s="533"/>
      <c r="G110" s="524"/>
      <c r="H110" s="1265" t="s">
        <v>466</v>
      </c>
      <c r="I110" s="1266"/>
      <c r="J110" s="1266"/>
      <c r="K110" s="1596" t="str">
        <f>"(im ø der "&amp;ZRB!G90&amp;" J. Laufzeit)"</f>
        <v>(im ø der 20 J. Laufzeit)</v>
      </c>
      <c r="L110" s="1596"/>
      <c r="M110" s="1596"/>
      <c r="N110" s="1596"/>
      <c r="O110" s="1596"/>
      <c r="P110" s="1596"/>
      <c r="Q110" s="1583">
        <f>IF(Kalkulation_Eigenstrom!$AN$13=1,"",ZRB!G83+ZRB!G86)</f>
        <v>0</v>
      </c>
      <c r="R110" s="1583"/>
      <c r="S110" s="1583"/>
      <c r="T110" s="1583"/>
      <c r="U110" s="1583"/>
      <c r="V110" s="1584"/>
      <c r="W110" s="149"/>
      <c r="X110" s="774"/>
      <c r="Y110" s="464"/>
      <c r="Z110" s="464"/>
      <c r="AA110" s="360"/>
      <c r="AB110" s="458"/>
      <c r="AC110" s="458"/>
      <c r="AD110" s="458"/>
      <c r="AE110" s="458"/>
      <c r="AF110" s="458"/>
      <c r="AG110" s="458"/>
      <c r="AH110" s="458"/>
      <c r="AI110" s="458"/>
      <c r="AJ110" s="458"/>
      <c r="AK110" s="458"/>
      <c r="AL110" s="298"/>
      <c r="AM110" s="434"/>
      <c r="AN110" s="524"/>
      <c r="AO110" s="524"/>
      <c r="AP110" s="524"/>
      <c r="AQ110" s="524"/>
      <c r="AR110" s="524"/>
      <c r="AS110" s="524"/>
      <c r="AT110" s="524"/>
      <c r="AU110" s="524"/>
      <c r="AV110" s="524"/>
      <c r="AW110" s="524"/>
      <c r="AX110" s="524"/>
      <c r="AY110" s="524"/>
      <c r="AZ110" s="524"/>
      <c r="BA110" s="524"/>
      <c r="BB110" s="524"/>
      <c r="BC110" s="524"/>
      <c r="BD110" s="524"/>
    </row>
    <row r="111" spans="1:56" s="6" customFormat="1" ht="2.4500000000000002" customHeight="1">
      <c r="A111" s="476"/>
      <c r="B111" s="476"/>
      <c r="C111" s="476"/>
      <c r="D111" s="476"/>
      <c r="E111" s="761"/>
      <c r="F111" s="533"/>
      <c r="G111" s="524"/>
      <c r="H111" s="1265"/>
      <c r="I111" s="1266"/>
      <c r="J111" s="1266"/>
      <c r="K111" s="1596"/>
      <c r="L111" s="1596"/>
      <c r="M111" s="1596"/>
      <c r="N111" s="1596"/>
      <c r="O111" s="1596"/>
      <c r="P111" s="1596"/>
      <c r="Q111" s="1583"/>
      <c r="R111" s="1583"/>
      <c r="S111" s="1583"/>
      <c r="T111" s="1583"/>
      <c r="U111" s="1583"/>
      <c r="V111" s="1584"/>
      <c r="W111" s="149"/>
      <c r="X111" s="774"/>
      <c r="Y111" s="464"/>
      <c r="Z111" s="464"/>
      <c r="AA111" s="360"/>
      <c r="AB111" s="458"/>
      <c r="AC111" s="458"/>
      <c r="AD111" s="458"/>
      <c r="AE111" s="458"/>
      <c r="AF111" s="458"/>
      <c r="AG111" s="458"/>
      <c r="AH111" s="458"/>
      <c r="AI111" s="458"/>
      <c r="AJ111" s="458"/>
      <c r="AK111" s="458"/>
      <c r="AL111" s="298"/>
      <c r="AM111" s="434"/>
      <c r="AN111" s="524"/>
      <c r="AO111" s="524"/>
      <c r="AP111" s="524"/>
      <c r="AQ111" s="524"/>
      <c r="AR111" s="524"/>
      <c r="AS111" s="524"/>
      <c r="AT111" s="524"/>
      <c r="AU111" s="524"/>
      <c r="AV111" s="524"/>
      <c r="AW111" s="524"/>
      <c r="AX111" s="524"/>
      <c r="AY111" s="524"/>
      <c r="AZ111" s="524"/>
      <c r="BA111" s="524"/>
      <c r="BB111" s="524"/>
      <c r="BC111" s="524"/>
      <c r="BD111" s="524"/>
    </row>
    <row r="112" spans="1:56" ht="11.85" customHeight="1">
      <c r="A112" s="476"/>
      <c r="B112" s="476"/>
      <c r="C112" s="476"/>
      <c r="D112" s="476"/>
      <c r="E112" s="761"/>
      <c r="F112" s="533"/>
      <c r="G112" s="524"/>
      <c r="H112" s="1265"/>
      <c r="I112" s="1266"/>
      <c r="J112" s="1266"/>
      <c r="K112" s="1596"/>
      <c r="L112" s="1596"/>
      <c r="M112" s="1596"/>
      <c r="N112" s="1596"/>
      <c r="O112" s="1596"/>
      <c r="P112" s="1596"/>
      <c r="Q112" s="1583"/>
      <c r="R112" s="1583"/>
      <c r="S112" s="1583"/>
      <c r="T112" s="1583"/>
      <c r="U112" s="1583"/>
      <c r="V112" s="1584"/>
      <c r="W112" s="149"/>
      <c r="X112" s="774"/>
      <c r="Y112" s="464"/>
      <c r="Z112" s="464"/>
      <c r="AA112" s="360"/>
      <c r="AB112" s="458"/>
      <c r="AC112" s="458"/>
      <c r="AD112" s="458"/>
      <c r="AE112" s="458"/>
      <c r="AF112" s="458"/>
      <c r="AG112" s="458"/>
      <c r="AH112" s="458"/>
      <c r="AI112" s="458"/>
      <c r="AJ112" s="458"/>
      <c r="AK112" s="458"/>
      <c r="AL112" s="298"/>
      <c r="AM112" s="434"/>
      <c r="AN112" s="524"/>
      <c r="AO112" s="524"/>
      <c r="AP112" s="524"/>
      <c r="AQ112" s="524"/>
      <c r="AR112" s="524"/>
      <c r="AS112" s="524"/>
      <c r="AT112" s="524"/>
      <c r="AU112" s="524"/>
      <c r="AV112" s="524"/>
      <c r="AW112" s="524"/>
      <c r="AX112" s="524"/>
      <c r="AY112" s="524"/>
      <c r="AZ112" s="524"/>
      <c r="BA112" s="524"/>
      <c r="BB112" s="524"/>
      <c r="BC112" s="524"/>
      <c r="BD112" s="524"/>
    </row>
    <row r="113" spans="1:56" s="6" customFormat="1" ht="2.4500000000000002" customHeight="1">
      <c r="A113" s="476"/>
      <c r="B113" s="476"/>
      <c r="C113" s="476"/>
      <c r="D113" s="476"/>
      <c r="E113" s="761"/>
      <c r="F113" s="533"/>
      <c r="G113" s="524"/>
      <c r="H113" s="646"/>
      <c r="I113" s="647"/>
      <c r="J113" s="647"/>
      <c r="K113" s="648"/>
      <c r="L113" s="648"/>
      <c r="M113" s="648"/>
      <c r="N113" s="648"/>
      <c r="O113" s="648"/>
      <c r="P113" s="649"/>
      <c r="Q113" s="650"/>
      <c r="R113" s="650"/>
      <c r="S113" s="650"/>
      <c r="T113" s="650"/>
      <c r="U113" s="650"/>
      <c r="V113" s="651"/>
      <c r="W113" s="149"/>
      <c r="X113" s="774"/>
      <c r="Y113" s="464"/>
      <c r="Z113" s="464"/>
      <c r="AA113" s="360"/>
      <c r="AB113" s="458"/>
      <c r="AC113" s="458"/>
      <c r="AD113" s="458"/>
      <c r="AE113" s="458"/>
      <c r="AF113" s="458"/>
      <c r="AG113" s="458"/>
      <c r="AH113" s="458"/>
      <c r="AI113" s="458"/>
      <c r="AJ113" s="458"/>
      <c r="AK113" s="458"/>
      <c r="AL113" s="298"/>
      <c r="AM113" s="434"/>
      <c r="AN113" s="524"/>
      <c r="AO113" s="524"/>
      <c r="AP113" s="524"/>
      <c r="AQ113" s="524"/>
      <c r="AR113" s="524"/>
      <c r="AS113" s="524"/>
      <c r="AT113" s="524"/>
      <c r="AU113" s="524"/>
      <c r="AV113" s="524"/>
      <c r="AW113" s="524"/>
      <c r="AX113" s="524"/>
      <c r="AY113" s="524"/>
      <c r="AZ113" s="524"/>
      <c r="BA113" s="524"/>
      <c r="BB113" s="524"/>
      <c r="BC113" s="524"/>
      <c r="BD113" s="524"/>
    </row>
    <row r="114" spans="1:56" ht="11.85" customHeight="1">
      <c r="A114" s="476"/>
      <c r="B114" s="476"/>
      <c r="C114" s="476"/>
      <c r="D114" s="476"/>
      <c r="E114" s="761"/>
      <c r="F114" s="533"/>
      <c r="G114" s="524"/>
      <c r="H114" s="392"/>
      <c r="I114" s="1515" t="str">
        <f>"Stromverkauf / Netzeinspeisung ("&amp;ROUND(ZRB!I32*100,2)&amp;"%)"</f>
        <v>Stromverkauf / Netzeinspeisung (0%)</v>
      </c>
      <c r="J114" s="1515"/>
      <c r="K114" s="1515"/>
      <c r="L114" s="1515"/>
      <c r="M114" s="1515"/>
      <c r="N114" s="1515"/>
      <c r="O114" s="1515"/>
      <c r="P114" s="1515"/>
      <c r="Q114" s="1515"/>
      <c r="R114" s="689"/>
      <c r="S114" s="689"/>
      <c r="T114" s="1599">
        <f>IF(Kalkulation_Eigenstrom!$AN$13=1,"",ZRB!G83)</f>
        <v>0</v>
      </c>
      <c r="U114" s="1599"/>
      <c r="V114" s="1600"/>
      <c r="W114" s="149"/>
      <c r="X114" s="774"/>
      <c r="Y114" s="464"/>
      <c r="Z114" s="464"/>
      <c r="AA114" s="360"/>
      <c r="AB114" s="458"/>
      <c r="AC114" s="458"/>
      <c r="AD114" s="458"/>
      <c r="AE114" s="458"/>
      <c r="AF114" s="458"/>
      <c r="AG114" s="458"/>
      <c r="AH114" s="458"/>
      <c r="AI114" s="458"/>
      <c r="AJ114" s="458"/>
      <c r="AK114" s="458"/>
      <c r="AL114" s="298"/>
      <c r="AM114" s="434"/>
      <c r="AN114" s="524"/>
      <c r="AO114" s="524"/>
      <c r="AP114" s="524"/>
      <c r="AQ114" s="524"/>
      <c r="AR114" s="524"/>
      <c r="AS114" s="524"/>
      <c r="AT114" s="524"/>
      <c r="AU114" s="524"/>
      <c r="AV114" s="524"/>
      <c r="AW114" s="524"/>
      <c r="AX114" s="524"/>
      <c r="AY114" s="524"/>
      <c r="AZ114" s="524"/>
      <c r="BA114" s="524"/>
      <c r="BB114" s="524"/>
      <c r="BC114" s="524"/>
      <c r="BD114" s="524"/>
    </row>
    <row r="115" spans="1:56" s="6" customFormat="1" ht="2.4500000000000002" customHeight="1">
      <c r="A115" s="476"/>
      <c r="B115" s="476"/>
      <c r="C115" s="476"/>
      <c r="D115" s="476"/>
      <c r="E115" s="761"/>
      <c r="F115" s="533"/>
      <c r="G115" s="524"/>
      <c r="H115" s="392"/>
      <c r="I115" s="1515"/>
      <c r="J115" s="1515"/>
      <c r="K115" s="1515"/>
      <c r="L115" s="1515"/>
      <c r="M115" s="1515"/>
      <c r="N115" s="1515"/>
      <c r="O115" s="1515"/>
      <c r="P115" s="1515"/>
      <c r="Q115" s="1515"/>
      <c r="R115" s="689"/>
      <c r="S115" s="689"/>
      <c r="T115" s="1599"/>
      <c r="U115" s="1599"/>
      <c r="V115" s="1600"/>
      <c r="W115" s="149"/>
      <c r="X115" s="774"/>
      <c r="Y115" s="464"/>
      <c r="Z115" s="464"/>
      <c r="AA115" s="360"/>
      <c r="AB115" s="458"/>
      <c r="AC115" s="458"/>
      <c r="AD115" s="458"/>
      <c r="AE115" s="458"/>
      <c r="AF115" s="458"/>
      <c r="AG115" s="458"/>
      <c r="AH115" s="458"/>
      <c r="AI115" s="458"/>
      <c r="AJ115" s="458"/>
      <c r="AK115" s="458"/>
      <c r="AL115" s="298"/>
      <c r="AM115" s="434"/>
      <c r="AN115" s="524"/>
      <c r="AO115" s="524"/>
      <c r="AP115" s="524"/>
      <c r="AQ115" s="524"/>
      <c r="AR115" s="524"/>
      <c r="AS115" s="524"/>
      <c r="AT115" s="524"/>
      <c r="AU115" s="524"/>
      <c r="AV115" s="524"/>
      <c r="AW115" s="524"/>
      <c r="AX115" s="524"/>
      <c r="AY115" s="524"/>
      <c r="AZ115" s="524"/>
      <c r="BA115" s="524"/>
      <c r="BB115" s="524"/>
      <c r="BC115" s="524"/>
      <c r="BD115" s="524"/>
    </row>
    <row r="116" spans="1:56" ht="11.85" customHeight="1">
      <c r="A116" s="476"/>
      <c r="B116" s="476"/>
      <c r="C116" s="476"/>
      <c r="D116" s="476"/>
      <c r="E116" s="761"/>
      <c r="F116" s="533"/>
      <c r="G116" s="524"/>
      <c r="H116" s="392"/>
      <c r="I116" s="1515"/>
      <c r="J116" s="1515"/>
      <c r="K116" s="1515"/>
      <c r="L116" s="1515"/>
      <c r="M116" s="1515"/>
      <c r="N116" s="1515"/>
      <c r="O116" s="1515"/>
      <c r="P116" s="1515"/>
      <c r="Q116" s="1515"/>
      <c r="R116" s="689"/>
      <c r="S116" s="689"/>
      <c r="T116" s="1599"/>
      <c r="U116" s="1599"/>
      <c r="V116" s="1600"/>
      <c r="W116" s="149"/>
      <c r="X116" s="774"/>
      <c r="Y116" s="464"/>
      <c r="Z116" s="464"/>
      <c r="AA116" s="360"/>
      <c r="AB116" s="458"/>
      <c r="AC116" s="458"/>
      <c r="AD116" s="458"/>
      <c r="AE116" s="458"/>
      <c r="AF116" s="458"/>
      <c r="AG116" s="458"/>
      <c r="AH116" s="458"/>
      <c r="AI116" s="458"/>
      <c r="AJ116" s="458"/>
      <c r="AK116" s="458"/>
      <c r="AL116" s="298"/>
      <c r="AM116" s="434"/>
      <c r="AN116" s="524"/>
      <c r="AO116" s="524"/>
      <c r="AP116" s="524"/>
      <c r="AQ116" s="524"/>
      <c r="AR116" s="524"/>
      <c r="AS116" s="524"/>
      <c r="AT116" s="524"/>
      <c r="AU116" s="524"/>
      <c r="AV116" s="524"/>
      <c r="AW116" s="524"/>
      <c r="AX116" s="524"/>
      <c r="AY116" s="524"/>
      <c r="AZ116" s="524"/>
      <c r="BA116" s="524"/>
      <c r="BB116" s="524"/>
      <c r="BC116" s="524"/>
      <c r="BD116" s="524"/>
    </row>
    <row r="117" spans="1:56" s="6" customFormat="1" ht="2.4500000000000002" customHeight="1">
      <c r="A117" s="476"/>
      <c r="B117" s="476"/>
      <c r="C117" s="476"/>
      <c r="D117" s="476"/>
      <c r="E117" s="761"/>
      <c r="F117" s="533"/>
      <c r="G117" s="524"/>
      <c r="H117" s="646"/>
      <c r="I117" s="647"/>
      <c r="J117" s="647"/>
      <c r="K117" s="648"/>
      <c r="L117" s="648"/>
      <c r="M117" s="648"/>
      <c r="N117" s="648"/>
      <c r="O117" s="648"/>
      <c r="P117" s="649"/>
      <c r="Q117" s="650"/>
      <c r="R117" s="650"/>
      <c r="S117" s="650"/>
      <c r="T117" s="650"/>
      <c r="U117" s="650"/>
      <c r="V117" s="651"/>
      <c r="W117" s="149"/>
      <c r="X117" s="774"/>
      <c r="Y117" s="464"/>
      <c r="Z117" s="464"/>
      <c r="AA117" s="360"/>
      <c r="AB117" s="458"/>
      <c r="AC117" s="458"/>
      <c r="AD117" s="458"/>
      <c r="AE117" s="458"/>
      <c r="AF117" s="458"/>
      <c r="AG117" s="458"/>
      <c r="AH117" s="458"/>
      <c r="AI117" s="458"/>
      <c r="AJ117" s="458"/>
      <c r="AK117" s="458"/>
      <c r="AL117" s="298"/>
      <c r="AM117" s="434"/>
      <c r="AN117" s="524"/>
      <c r="AO117" s="524"/>
      <c r="AP117" s="524"/>
      <c r="AQ117" s="524"/>
      <c r="AR117" s="524"/>
      <c r="AS117" s="524"/>
      <c r="AT117" s="524"/>
      <c r="AU117" s="524"/>
      <c r="AV117" s="524"/>
      <c r="AW117" s="524"/>
      <c r="AX117" s="524"/>
      <c r="AY117" s="524"/>
      <c r="AZ117" s="524"/>
      <c r="BA117" s="524"/>
      <c r="BB117" s="524"/>
      <c r="BC117" s="524"/>
      <c r="BD117" s="524"/>
    </row>
    <row r="118" spans="1:56" ht="11.85" customHeight="1">
      <c r="A118" s="476"/>
      <c r="B118" s="476"/>
      <c r="C118" s="476"/>
      <c r="D118" s="476"/>
      <c r="E118" s="761"/>
      <c r="F118" s="533"/>
      <c r="G118" s="524"/>
      <c r="H118" s="646"/>
      <c r="I118" s="670" t="str">
        <f>IF(ZRB!G92=1,"","("&amp;ZRB!G91&amp;" Jahre ("&amp;ROUND(ZRB!G92*100,1)&amp;"%) Einspeisevergütung n. EEG, "&amp;ZRB!G90-ZRB!G91&amp;" Jahre ("&amp;ROUND(ZRB!G93*100,1)&amp;"%) eigene Stromvermarktung)")</f>
        <v/>
      </c>
      <c r="J118" s="647"/>
      <c r="K118" s="648"/>
      <c r="L118" s="648"/>
      <c r="M118" s="648"/>
      <c r="N118" s="648"/>
      <c r="O118" s="648"/>
      <c r="P118" s="649"/>
      <c r="Q118" s="650"/>
      <c r="R118" s="650"/>
      <c r="S118" s="650"/>
      <c r="T118" s="650"/>
      <c r="U118" s="650"/>
      <c r="V118" s="651"/>
      <c r="W118" s="149"/>
      <c r="X118" s="774"/>
      <c r="Y118" s="464"/>
      <c r="Z118" s="464"/>
      <c r="AA118" s="360"/>
      <c r="AB118" s="458"/>
      <c r="AC118" s="458"/>
      <c r="AD118" s="458"/>
      <c r="AE118" s="458"/>
      <c r="AF118" s="458"/>
      <c r="AG118" s="458"/>
      <c r="AH118" s="458"/>
      <c r="AI118" s="458"/>
      <c r="AJ118" s="458"/>
      <c r="AK118" s="458"/>
      <c r="AL118" s="298"/>
      <c r="AM118" s="434"/>
      <c r="AN118" s="524"/>
      <c r="AO118" s="524"/>
      <c r="AP118" s="524"/>
      <c r="AQ118" s="524"/>
      <c r="AR118" s="524"/>
      <c r="AS118" s="524"/>
      <c r="AT118" s="524"/>
      <c r="AU118" s="524"/>
      <c r="AV118" s="524"/>
      <c r="AW118" s="524"/>
      <c r="AX118" s="524"/>
      <c r="AY118" s="524"/>
      <c r="AZ118" s="524"/>
      <c r="BA118" s="524"/>
      <c r="BB118" s="524"/>
      <c r="BC118" s="524"/>
      <c r="BD118" s="524"/>
    </row>
    <row r="119" spans="1:56" s="6" customFormat="1" ht="2.4500000000000002" customHeight="1">
      <c r="A119" s="476"/>
      <c r="B119" s="476"/>
      <c r="C119" s="476"/>
      <c r="D119" s="476"/>
      <c r="E119" s="761"/>
      <c r="F119" s="533"/>
      <c r="G119" s="524"/>
      <c r="H119" s="392"/>
      <c r="I119" s="1518" t="str">
        <f>"&gt; EEG-Vergütung (0.-"&amp;ZRB!G91&amp;".J.; "&amp;ZRB!G12&amp;")"</f>
        <v>&gt; EEG-Vergütung (0.-20.J.; Mai  2022)</v>
      </c>
      <c r="J119" s="1518"/>
      <c r="K119" s="1518"/>
      <c r="L119" s="1518"/>
      <c r="M119" s="1518"/>
      <c r="N119" s="1518"/>
      <c r="O119" s="1518"/>
      <c r="P119" s="1518"/>
      <c r="Q119" s="1518"/>
      <c r="R119" s="237"/>
      <c r="S119" s="237"/>
      <c r="T119" s="1581" t="str">
        <f>IF(Kalkulation_Eigenstrom!$AN$13=1,"",IF(ZRB!G81=0,"",ZRB!G81))</f>
        <v/>
      </c>
      <c r="U119" s="1581"/>
      <c r="V119" s="1582"/>
      <c r="W119" s="149"/>
      <c r="X119" s="774"/>
      <c r="Y119" s="464"/>
      <c r="Z119" s="464"/>
      <c r="AA119" s="360"/>
      <c r="AB119" s="458"/>
      <c r="AC119" s="458"/>
      <c r="AD119" s="458"/>
      <c r="AE119" s="458"/>
      <c r="AF119" s="458"/>
      <c r="AG119" s="458"/>
      <c r="AH119" s="458"/>
      <c r="AI119" s="458"/>
      <c r="AJ119" s="458"/>
      <c r="AK119" s="458"/>
      <c r="AL119" s="298"/>
      <c r="AM119" s="434"/>
      <c r="AN119" s="524"/>
      <c r="AO119" s="524"/>
      <c r="AP119" s="524"/>
      <c r="AQ119" s="524"/>
      <c r="AR119" s="524"/>
      <c r="AS119" s="524"/>
      <c r="AT119" s="524"/>
      <c r="AU119" s="524"/>
      <c r="AV119" s="524"/>
      <c r="AW119" s="524"/>
      <c r="AX119" s="524"/>
      <c r="AY119" s="524"/>
      <c r="AZ119" s="524"/>
      <c r="BA119" s="524"/>
      <c r="BB119" s="524"/>
      <c r="BC119" s="524"/>
      <c r="BD119" s="524"/>
    </row>
    <row r="120" spans="1:56" ht="11.85" customHeight="1">
      <c r="A120" s="476"/>
      <c r="B120" s="476"/>
      <c r="C120" s="476"/>
      <c r="D120" s="476"/>
      <c r="E120" s="761"/>
      <c r="F120" s="533"/>
      <c r="G120" s="524"/>
      <c r="H120" s="392"/>
      <c r="I120" s="1518"/>
      <c r="J120" s="1518"/>
      <c r="K120" s="1518"/>
      <c r="L120" s="1518"/>
      <c r="M120" s="1518"/>
      <c r="N120" s="1518"/>
      <c r="O120" s="1518"/>
      <c r="P120" s="1518"/>
      <c r="Q120" s="1518"/>
      <c r="R120" s="1591" t="str">
        <f>IF(ZRB!G90&gt;ZRB!G91,"Verrechnungsanteil","")</f>
        <v/>
      </c>
      <c r="S120" s="1607" t="str">
        <f>IF(ZRB!G90&gt;ZRB!G91,""&amp;ROUND(ZRB!G92*100,1)&amp;"%","")</f>
        <v/>
      </c>
      <c r="T120" s="1581"/>
      <c r="U120" s="1581"/>
      <c r="V120" s="1582"/>
      <c r="W120" s="149"/>
      <c r="X120" s="774"/>
      <c r="Y120" s="464"/>
      <c r="Z120" s="464"/>
      <c r="AA120" s="360"/>
      <c r="AB120" s="458"/>
      <c r="AC120" s="458"/>
      <c r="AD120" s="458"/>
      <c r="AE120" s="458"/>
      <c r="AF120" s="458"/>
      <c r="AG120" s="458"/>
      <c r="AH120" s="458"/>
      <c r="AI120" s="458"/>
      <c r="AJ120" s="458"/>
      <c r="AK120" s="458"/>
      <c r="AL120" s="298"/>
      <c r="AM120" s="434"/>
      <c r="AN120" s="524"/>
      <c r="AO120" s="524"/>
      <c r="AP120" s="524"/>
      <c r="AQ120" s="524"/>
      <c r="AR120" s="524"/>
      <c r="AS120" s="524"/>
      <c r="AT120" s="524"/>
      <c r="AU120" s="524"/>
      <c r="AV120" s="524"/>
      <c r="AW120" s="524"/>
      <c r="AX120" s="524"/>
      <c r="AY120" s="524"/>
      <c r="AZ120" s="524"/>
      <c r="BA120" s="524"/>
      <c r="BB120" s="524"/>
      <c r="BC120" s="524"/>
      <c r="BD120" s="524"/>
    </row>
    <row r="121" spans="1:56" s="6" customFormat="1" ht="2.4500000000000002" customHeight="1">
      <c r="A121" s="476"/>
      <c r="B121" s="476"/>
      <c r="C121" s="476"/>
      <c r="D121" s="476"/>
      <c r="E121" s="761"/>
      <c r="F121" s="533"/>
      <c r="G121" s="524"/>
      <c r="H121" s="392"/>
      <c r="I121" s="237"/>
      <c r="J121" s="237"/>
      <c r="K121" s="237"/>
      <c r="L121" s="237"/>
      <c r="M121" s="237"/>
      <c r="N121" s="237"/>
      <c r="O121" s="237"/>
      <c r="P121" s="237"/>
      <c r="Q121" s="237"/>
      <c r="R121" s="1591"/>
      <c r="S121" s="1607"/>
      <c r="T121" s="235"/>
      <c r="U121" s="235"/>
      <c r="V121" s="667"/>
      <c r="W121" s="149"/>
      <c r="X121" s="774"/>
      <c r="Y121" s="464"/>
      <c r="Z121" s="464"/>
      <c r="AA121" s="360"/>
      <c r="AB121" s="458"/>
      <c r="AC121" s="458"/>
      <c r="AD121" s="458"/>
      <c r="AE121" s="458"/>
      <c r="AF121" s="458"/>
      <c r="AG121" s="458"/>
      <c r="AH121" s="458"/>
      <c r="AI121" s="458"/>
      <c r="AJ121" s="458"/>
      <c r="AK121" s="458"/>
      <c r="AL121" s="298"/>
      <c r="AM121" s="434"/>
      <c r="AN121" s="524"/>
      <c r="AO121" s="524"/>
      <c r="AP121" s="524"/>
      <c r="AQ121" s="524"/>
      <c r="AR121" s="524"/>
      <c r="AS121" s="524"/>
      <c r="AT121" s="524"/>
      <c r="AU121" s="524"/>
      <c r="AV121" s="524"/>
      <c r="AW121" s="524"/>
      <c r="AX121" s="524"/>
      <c r="AY121" s="524"/>
      <c r="AZ121" s="524"/>
      <c r="BA121" s="524"/>
      <c r="BB121" s="524"/>
      <c r="BC121" s="524"/>
      <c r="BD121" s="524"/>
    </row>
    <row r="122" spans="1:56" ht="11.85" customHeight="1">
      <c r="A122" s="476"/>
      <c r="B122" s="476"/>
      <c r="C122" s="476"/>
      <c r="D122" s="476"/>
      <c r="E122" s="761"/>
      <c r="F122" s="533"/>
      <c r="G122" s="524"/>
      <c r="H122" s="392"/>
      <c r="I122" s="1519">
        <f>Kalkulation_Eigenstrom!BF41</f>
        <v>0</v>
      </c>
      <c r="J122" s="1519"/>
      <c r="K122" s="1579">
        <f>ZRB!L9</f>
        <v>10</v>
      </c>
      <c r="L122" s="1579"/>
      <c r="M122" s="1580">
        <f>IF(Kalkulation_Eigenstrom!$AN$13=1,"",ZRB!Q9)</f>
        <v>6.4299999999999996E-2</v>
      </c>
      <c r="N122" s="1580"/>
      <c r="O122" s="1517" t="str">
        <f>IF(ZRB!P9=0,"",ZRB!P9)</f>
        <v/>
      </c>
      <c r="P122" s="1517"/>
      <c r="Q122" s="1517"/>
      <c r="R122" s="1591"/>
      <c r="S122" s="1607"/>
      <c r="T122" s="1503"/>
      <c r="U122" s="1503"/>
      <c r="V122" s="1504"/>
      <c r="W122" s="149"/>
      <c r="X122" s="774"/>
      <c r="Y122" s="464"/>
      <c r="Z122" s="464"/>
      <c r="AA122" s="360"/>
      <c r="AB122" s="458"/>
      <c r="AC122" s="458"/>
      <c r="AD122" s="458"/>
      <c r="AE122" s="457"/>
      <c r="AF122" s="457"/>
      <c r="AG122" s="457"/>
      <c r="AH122" s="457"/>
      <c r="AI122" s="457"/>
      <c r="AJ122" s="457"/>
      <c r="AK122" s="457"/>
      <c r="AL122" s="298"/>
      <c r="AM122" s="434"/>
      <c r="AN122" s="524"/>
      <c r="AO122" s="524"/>
      <c r="AP122" s="524"/>
      <c r="AQ122" s="524"/>
      <c r="AR122" s="524"/>
      <c r="AS122" s="524"/>
      <c r="AT122" s="524"/>
      <c r="AU122" s="524"/>
      <c r="AV122" s="524"/>
      <c r="AW122" s="524"/>
      <c r="AX122" s="524"/>
      <c r="AY122" s="524"/>
      <c r="AZ122" s="524"/>
      <c r="BA122" s="524"/>
      <c r="BB122" s="524"/>
      <c r="BC122" s="524"/>
      <c r="BD122" s="524"/>
    </row>
    <row r="123" spans="1:56" s="6" customFormat="1" ht="2.4500000000000002" customHeight="1">
      <c r="A123" s="476"/>
      <c r="B123" s="476"/>
      <c r="C123" s="476"/>
      <c r="D123" s="476"/>
      <c r="E123" s="761"/>
      <c r="F123" s="533"/>
      <c r="G123" s="524"/>
      <c r="H123" s="392"/>
      <c r="I123" s="675"/>
      <c r="J123" s="675"/>
      <c r="K123" s="675"/>
      <c r="L123" s="675"/>
      <c r="M123" s="676"/>
      <c r="N123" s="676"/>
      <c r="O123" s="676"/>
      <c r="P123" s="676"/>
      <c r="Q123" s="676"/>
      <c r="R123" s="1591"/>
      <c r="S123" s="1607"/>
      <c r="T123" s="235"/>
      <c r="U123" s="235"/>
      <c r="V123" s="667"/>
      <c r="W123" s="149"/>
      <c r="X123" s="774"/>
      <c r="Y123" s="464"/>
      <c r="Z123" s="464"/>
      <c r="AA123" s="360"/>
      <c r="AB123" s="458"/>
      <c r="AC123" s="458"/>
      <c r="AD123" s="458"/>
      <c r="AE123" s="457"/>
      <c r="AF123" s="457"/>
      <c r="AG123" s="457"/>
      <c r="AH123" s="457"/>
      <c r="AI123" s="457"/>
      <c r="AJ123" s="457"/>
      <c r="AK123" s="457"/>
      <c r="AL123" s="298"/>
      <c r="AM123" s="434"/>
      <c r="AN123" s="524"/>
      <c r="AO123" s="524"/>
      <c r="AP123" s="524"/>
      <c r="AQ123" s="524"/>
      <c r="AR123" s="524"/>
      <c r="AS123" s="524"/>
      <c r="AT123" s="524"/>
      <c r="AU123" s="524"/>
      <c r="AV123" s="524"/>
      <c r="AW123" s="524"/>
      <c r="AX123" s="524"/>
      <c r="AY123" s="524"/>
      <c r="AZ123" s="524"/>
      <c r="BA123" s="524"/>
      <c r="BB123" s="524"/>
      <c r="BC123" s="524"/>
      <c r="BD123" s="524"/>
    </row>
    <row r="124" spans="1:56" ht="11.85" customHeight="1">
      <c r="A124" s="476"/>
      <c r="B124" s="476"/>
      <c r="C124" s="476"/>
      <c r="D124" s="476"/>
      <c r="E124" s="761"/>
      <c r="F124" s="533"/>
      <c r="G124" s="524"/>
      <c r="H124" s="392"/>
      <c r="I124" s="1519">
        <f>IF(O124&gt;0,K122,"")</f>
        <v>10</v>
      </c>
      <c r="J124" s="1519"/>
      <c r="K124" s="1579">
        <f>IF(O124&gt;0,ZRB!L10,"")</f>
        <v>40</v>
      </c>
      <c r="L124" s="1579"/>
      <c r="M124" s="1580">
        <f>IF(Kalkulation_Eigenstrom!$AN$13=1,"",IF(O124&gt;0,ZRB!Q10,""))</f>
        <v>6.25E-2</v>
      </c>
      <c r="N124" s="1580"/>
      <c r="O124" s="1517" t="str">
        <f>IF(ZRB!P10=0,"",ZRB!P10)</f>
        <v/>
      </c>
      <c r="P124" s="1517"/>
      <c r="Q124" s="1517"/>
      <c r="R124" s="1591"/>
      <c r="S124" s="1607"/>
      <c r="T124" s="1503"/>
      <c r="U124" s="1503"/>
      <c r="V124" s="1504"/>
      <c r="W124" s="149"/>
      <c r="X124" s="774"/>
      <c r="Y124" s="464"/>
      <c r="Z124" s="464"/>
      <c r="AA124" s="360"/>
      <c r="AB124" s="458"/>
      <c r="AC124" s="458"/>
      <c r="AD124" s="458"/>
      <c r="AE124" s="457"/>
      <c r="AF124" s="457"/>
      <c r="AG124" s="457"/>
      <c r="AH124" s="457"/>
      <c r="AI124" s="457"/>
      <c r="AJ124" s="457"/>
      <c r="AK124" s="457"/>
      <c r="AL124" s="298"/>
      <c r="AM124" s="434"/>
      <c r="AN124" s="524"/>
      <c r="AO124" s="524"/>
      <c r="AP124" s="524"/>
      <c r="AQ124" s="524"/>
      <c r="AR124" s="524"/>
      <c r="AS124" s="524"/>
      <c r="AT124" s="524"/>
      <c r="AU124" s="524"/>
      <c r="AV124" s="524"/>
      <c r="AW124" s="524"/>
      <c r="AX124" s="524"/>
      <c r="AY124" s="524"/>
      <c r="AZ124" s="524"/>
      <c r="BA124" s="524"/>
      <c r="BB124" s="524"/>
      <c r="BC124" s="524"/>
      <c r="BD124" s="524"/>
    </row>
    <row r="125" spans="1:56" s="6" customFormat="1" ht="2.4500000000000002" customHeight="1">
      <c r="A125" s="476"/>
      <c r="B125" s="476"/>
      <c r="C125" s="476"/>
      <c r="D125" s="476"/>
      <c r="E125" s="761"/>
      <c r="F125" s="533"/>
      <c r="G125" s="524"/>
      <c r="H125" s="392"/>
      <c r="I125" s="675"/>
      <c r="J125" s="675"/>
      <c r="K125" s="675"/>
      <c r="L125" s="675"/>
      <c r="M125" s="676"/>
      <c r="N125" s="676"/>
      <c r="O125" s="676"/>
      <c r="P125" s="676"/>
      <c r="Q125" s="676"/>
      <c r="R125" s="1591"/>
      <c r="S125" s="1607"/>
      <c r="T125" s="235"/>
      <c r="U125" s="235"/>
      <c r="V125" s="667"/>
      <c r="W125" s="149"/>
      <c r="X125" s="774"/>
      <c r="Y125" s="464"/>
      <c r="Z125" s="464"/>
      <c r="AA125" s="360"/>
      <c r="AB125" s="458"/>
      <c r="AC125" s="458"/>
      <c r="AD125" s="458"/>
      <c r="AE125" s="458"/>
      <c r="AF125" s="458"/>
      <c r="AG125" s="458"/>
      <c r="AH125" s="458"/>
      <c r="AI125" s="458"/>
      <c r="AJ125" s="458"/>
      <c r="AK125" s="458"/>
      <c r="AL125" s="298"/>
      <c r="AM125" s="434"/>
      <c r="AN125" s="524"/>
      <c r="AO125" s="524"/>
      <c r="AP125" s="524"/>
      <c r="AQ125" s="524"/>
      <c r="AR125" s="524"/>
      <c r="AS125" s="524"/>
      <c r="AT125" s="524"/>
      <c r="AU125" s="524"/>
      <c r="AV125" s="524"/>
      <c r="AW125" s="524"/>
      <c r="AX125" s="524"/>
      <c r="AY125" s="524"/>
      <c r="AZ125" s="524"/>
      <c r="BA125" s="524"/>
      <c r="BB125" s="524"/>
      <c r="BC125" s="524"/>
      <c r="BD125" s="524"/>
    </row>
    <row r="126" spans="1:56" ht="11.85" customHeight="1">
      <c r="A126" s="476"/>
      <c r="B126" s="476"/>
      <c r="C126" s="476"/>
      <c r="D126" s="476"/>
      <c r="E126" s="761"/>
      <c r="F126" s="533"/>
      <c r="G126" s="524"/>
      <c r="H126" s="392"/>
      <c r="I126" s="1519">
        <f>IF(O126&gt;0,K124,"")</f>
        <v>40</v>
      </c>
      <c r="J126" s="1519"/>
      <c r="K126" s="1579">
        <f>IF(O126&gt;0,ZRB!L11,"")</f>
        <v>1000</v>
      </c>
      <c r="L126" s="1579"/>
      <c r="M126" s="1580">
        <f>IF(Kalkulation_Eigenstrom!$AN$13=1,"",IF(O126&gt;0,ZRB!Q11,""))</f>
        <v>4.8800000000000003E-2</v>
      </c>
      <c r="N126" s="1580"/>
      <c r="O126" s="1517" t="str">
        <f>IF(ZRB!P11=0,"",ZRB!P11)</f>
        <v/>
      </c>
      <c r="P126" s="1517"/>
      <c r="Q126" s="1517"/>
      <c r="R126" s="1591"/>
      <c r="S126" s="1607"/>
      <c r="T126" s="1503"/>
      <c r="U126" s="1503"/>
      <c r="V126" s="1504"/>
      <c r="W126" s="149"/>
      <c r="X126" s="774"/>
      <c r="Y126" s="464"/>
      <c r="Z126" s="464"/>
      <c r="AA126" s="360"/>
      <c r="AB126" s="458"/>
      <c r="AC126" s="458"/>
      <c r="AD126" s="1326" t="str">
        <f>ZRB!B35</f>
        <v/>
      </c>
      <c r="AE126" s="1326"/>
      <c r="AF126" s="1326"/>
      <c r="AG126" s="1326"/>
      <c r="AH126" s="1326"/>
      <c r="AI126" s="1326"/>
      <c r="AJ126" s="1326"/>
      <c r="AK126" s="1326"/>
      <c r="AL126" s="775"/>
      <c r="AM126" s="434"/>
      <c r="AN126" s="524"/>
      <c r="AO126" s="524"/>
      <c r="AP126" s="524"/>
      <c r="AQ126" s="524"/>
      <c r="AR126" s="524"/>
      <c r="AS126" s="524"/>
      <c r="AT126" s="524"/>
      <c r="AU126" s="524"/>
      <c r="AV126" s="524"/>
      <c r="AW126" s="524"/>
      <c r="AX126" s="524"/>
      <c r="AY126" s="524"/>
      <c r="AZ126" s="524"/>
      <c r="BA126" s="524"/>
      <c r="BB126" s="524"/>
      <c r="BC126" s="524"/>
      <c r="BD126" s="524"/>
    </row>
    <row r="127" spans="1:56" s="6" customFormat="1" ht="2.4500000000000002" customHeight="1">
      <c r="A127" s="476"/>
      <c r="B127" s="476"/>
      <c r="C127" s="476"/>
      <c r="D127" s="476"/>
      <c r="E127" s="761"/>
      <c r="F127" s="533"/>
      <c r="G127" s="524"/>
      <c r="H127" s="392"/>
      <c r="I127" s="675"/>
      <c r="J127" s="675"/>
      <c r="K127" s="675"/>
      <c r="L127" s="675"/>
      <c r="M127" s="676"/>
      <c r="N127" s="676"/>
      <c r="O127" s="675"/>
      <c r="P127" s="675"/>
      <c r="Q127" s="675"/>
      <c r="R127" s="1591"/>
      <c r="S127" s="1607"/>
      <c r="T127" s="235"/>
      <c r="U127" s="235"/>
      <c r="V127" s="667"/>
      <c r="W127" s="149"/>
      <c r="X127" s="774"/>
      <c r="Y127" s="464"/>
      <c r="Z127" s="464"/>
      <c r="AA127" s="441"/>
      <c r="AB127" s="458"/>
      <c r="AC127" s="465"/>
      <c r="AD127" s="1326"/>
      <c r="AE127" s="1326"/>
      <c r="AF127" s="1326"/>
      <c r="AG127" s="1326"/>
      <c r="AH127" s="1326"/>
      <c r="AI127" s="1326"/>
      <c r="AJ127" s="1326"/>
      <c r="AK127" s="1326"/>
      <c r="AL127" s="298"/>
      <c r="AM127" s="434"/>
      <c r="AN127" s="524"/>
      <c r="AO127" s="524"/>
      <c r="AP127" s="524"/>
      <c r="AQ127" s="524"/>
      <c r="AR127" s="524"/>
      <c r="AS127" s="524"/>
      <c r="AT127" s="524"/>
      <c r="AU127" s="524"/>
      <c r="AV127" s="524"/>
      <c r="AW127" s="524"/>
      <c r="AX127" s="524"/>
      <c r="AY127" s="524"/>
      <c r="AZ127" s="524"/>
      <c r="BA127" s="524"/>
      <c r="BB127" s="524"/>
      <c r="BC127" s="524"/>
      <c r="BD127" s="524"/>
    </row>
    <row r="128" spans="1:56" ht="11.85" customHeight="1">
      <c r="A128" s="476"/>
      <c r="B128" s="476"/>
      <c r="C128" s="476"/>
      <c r="D128" s="476"/>
      <c r="E128" s="761"/>
      <c r="F128" s="533"/>
      <c r="G128" s="524"/>
      <c r="H128" s="392"/>
      <c r="I128" s="1519" t="str">
        <f>IF(O128&gt;0,IF(K128&gt;0,"über",""),"")</f>
        <v>über</v>
      </c>
      <c r="J128" s="1519"/>
      <c r="K128" s="1579">
        <f>IF(O128&gt;0,ZRB!L12,"")</f>
        <v>1000</v>
      </c>
      <c r="L128" s="1579"/>
      <c r="M128" s="1580">
        <f>IF(Kalkulation_Eigenstrom!$AN$13=1,"",IF(O128&gt;0,ZRB!Q12,""))</f>
        <v>4.3999999999999997E-2</v>
      </c>
      <c r="N128" s="1580"/>
      <c r="O128" s="1587" t="str">
        <f>IF(ZRB!P12=0,"",ZRB!P12)</f>
        <v/>
      </c>
      <c r="P128" s="1587"/>
      <c r="Q128" s="1587"/>
      <c r="R128" s="1591"/>
      <c r="S128" s="1607"/>
      <c r="T128" s="1503"/>
      <c r="U128" s="1503"/>
      <c r="V128" s="1504"/>
      <c r="W128" s="149"/>
      <c r="X128" s="774"/>
      <c r="Y128" s="464"/>
      <c r="Z128" s="464"/>
      <c r="AA128" s="441"/>
      <c r="AB128" s="458"/>
      <c r="AC128" s="457"/>
      <c r="AD128" s="1340" t="str">
        <f>IF(ZRB!G33=1,"Der nicht selbst genutzte Strom wird mit 0,0000 €/kWh bewertet.","")</f>
        <v/>
      </c>
      <c r="AE128" s="1340"/>
      <c r="AF128" s="1340"/>
      <c r="AG128" s="1340"/>
      <c r="AH128" s="1340"/>
      <c r="AI128" s="1340"/>
      <c r="AJ128" s="1340"/>
      <c r="AK128" s="1340"/>
      <c r="AL128" s="775"/>
      <c r="AM128" s="434"/>
      <c r="AN128" s="524"/>
      <c r="AO128" s="524"/>
      <c r="AP128" s="524"/>
      <c r="AQ128" s="524"/>
      <c r="AR128" s="524"/>
      <c r="AS128" s="524"/>
      <c r="AT128" s="524"/>
      <c r="AU128" s="524"/>
      <c r="AV128" s="524"/>
      <c r="AW128" s="524"/>
      <c r="AX128" s="524"/>
      <c r="AY128" s="524"/>
      <c r="AZ128" s="524"/>
      <c r="BA128" s="524"/>
      <c r="BB128" s="524"/>
      <c r="BC128" s="524"/>
      <c r="BD128" s="524"/>
    </row>
    <row r="129" spans="1:56" s="6" customFormat="1" ht="2.4500000000000002" customHeight="1">
      <c r="A129" s="476"/>
      <c r="B129" s="476"/>
      <c r="C129" s="476"/>
      <c r="D129" s="476"/>
      <c r="E129" s="761"/>
      <c r="F129" s="533"/>
      <c r="G129" s="524"/>
      <c r="H129" s="392"/>
      <c r="I129" s="237"/>
      <c r="J129" s="237"/>
      <c r="K129" s="237"/>
      <c r="L129" s="237"/>
      <c r="M129" s="644"/>
      <c r="N129" s="644"/>
      <c r="O129" s="652"/>
      <c r="P129" s="652"/>
      <c r="Q129" s="652"/>
      <c r="R129" s="1591"/>
      <c r="S129" s="1607"/>
      <c r="T129" s="235"/>
      <c r="U129" s="235"/>
      <c r="V129" s="667"/>
      <c r="W129" s="149"/>
      <c r="X129" s="774"/>
      <c r="Y129" s="464"/>
      <c r="Z129" s="464"/>
      <c r="AA129" s="362"/>
      <c r="AB129" s="298"/>
      <c r="AC129" s="298"/>
      <c r="AD129" s="298"/>
      <c r="AE129" s="298"/>
      <c r="AF129" s="298"/>
      <c r="AG129" s="298"/>
      <c r="AH129" s="298"/>
      <c r="AI129" s="298"/>
      <c r="AJ129" s="298"/>
      <c r="AK129" s="298"/>
      <c r="AL129" s="298"/>
      <c r="AM129" s="434"/>
      <c r="AN129" s="524"/>
      <c r="AO129" s="524"/>
      <c r="AP129" s="524"/>
      <c r="AQ129" s="524"/>
      <c r="AR129" s="524"/>
      <c r="AS129" s="524"/>
      <c r="AT129" s="524"/>
      <c r="AU129" s="524"/>
      <c r="AV129" s="524"/>
      <c r="AW129" s="524"/>
      <c r="AX129" s="524"/>
      <c r="AY129" s="524"/>
      <c r="AZ129" s="524"/>
      <c r="BA129" s="524"/>
      <c r="BB129" s="524"/>
      <c r="BC129" s="524"/>
      <c r="BD129" s="524"/>
    </row>
    <row r="130" spans="1:56" ht="11.85" customHeight="1">
      <c r="A130" s="476"/>
      <c r="B130" s="476"/>
      <c r="C130" s="476"/>
      <c r="D130" s="476"/>
      <c r="E130" s="761"/>
      <c r="F130" s="533"/>
      <c r="G130" s="524"/>
      <c r="H130" s="392"/>
      <c r="I130" s="1252"/>
      <c r="J130" s="1252"/>
      <c r="K130" s="1253"/>
      <c r="L130" s="1253"/>
      <c r="M130" s="1592"/>
      <c r="N130" s="1592"/>
      <c r="O130" s="1588"/>
      <c r="P130" s="1588"/>
      <c r="Q130" s="1588"/>
      <c r="R130" s="1591"/>
      <c r="S130" s="660"/>
      <c r="T130" s="1503"/>
      <c r="U130" s="1503"/>
      <c r="V130" s="1504"/>
      <c r="W130" s="149"/>
      <c r="X130" s="774"/>
      <c r="Y130" s="464"/>
      <c r="Z130" s="464"/>
      <c r="AA130" s="362"/>
      <c r="AB130" s="765"/>
      <c r="AC130" s="765"/>
      <c r="AD130" s="765"/>
      <c r="AE130" s="765"/>
      <c r="AF130" s="765"/>
      <c r="AG130" s="765"/>
      <c r="AH130" s="765"/>
      <c r="AI130" s="765"/>
      <c r="AJ130" s="765"/>
      <c r="AK130" s="765"/>
      <c r="AL130" s="765"/>
      <c r="AM130" s="434"/>
      <c r="AN130" s="524"/>
      <c r="AO130" s="524"/>
      <c r="AP130" s="524"/>
      <c r="AQ130" s="524"/>
      <c r="AR130" s="524"/>
      <c r="AS130" s="524"/>
      <c r="AT130" s="524"/>
      <c r="AU130" s="524"/>
      <c r="AV130" s="524"/>
      <c r="AW130" s="524"/>
      <c r="AX130" s="524"/>
      <c r="AY130" s="524"/>
      <c r="AZ130" s="524"/>
      <c r="BA130" s="524"/>
      <c r="BB130" s="524"/>
      <c r="BC130" s="524"/>
      <c r="BD130" s="524"/>
    </row>
    <row r="131" spans="1:56" s="6" customFormat="1" ht="2.4500000000000002" customHeight="1">
      <c r="A131" s="476"/>
      <c r="B131" s="476"/>
      <c r="C131" s="476"/>
      <c r="D131" s="476"/>
      <c r="E131" s="761"/>
      <c r="F131" s="533"/>
      <c r="G131" s="524"/>
      <c r="H131" s="392"/>
      <c r="I131" s="1518" t="str">
        <f>IF(ZRB!G90&gt;ZRB!G91,"&gt; Erlöse Eigenvermarktung ("&amp;ZRB!G91&amp;".-"&amp;ZRB!G90&amp;". Jahr)","")</f>
        <v/>
      </c>
      <c r="J131" s="1518"/>
      <c r="K131" s="1518"/>
      <c r="L131" s="1518"/>
      <c r="M131" s="1518"/>
      <c r="N131" s="1518"/>
      <c r="O131" s="1518"/>
      <c r="P131" s="1518"/>
      <c r="Q131" s="1518"/>
      <c r="R131" s="1591"/>
      <c r="S131" s="1597" t="str">
        <f>IF(ZRB!G90&gt;ZRB!G91,""&amp;ROUND(ZRB!G93*100,1)&amp;"%","")</f>
        <v/>
      </c>
      <c r="T131" s="1581" t="str">
        <f>IF(Kalkulation_Eigenstrom!$AN$13=1,"",IF(ZRB!G90&gt;ZRB!G91,IF(ZRB!G82=0,"",ZRB!G82),""))</f>
        <v/>
      </c>
      <c r="U131" s="1581"/>
      <c r="V131" s="1582"/>
      <c r="W131" s="149"/>
      <c r="X131" s="774"/>
      <c r="Y131" s="464"/>
      <c r="Z131" s="464"/>
      <c r="AA131" s="362"/>
      <c r="AB131" s="765"/>
      <c r="AC131" s="765"/>
      <c r="AD131" s="765"/>
      <c r="AE131" s="765"/>
      <c r="AF131" s="765"/>
      <c r="AG131" s="765"/>
      <c r="AH131" s="765"/>
      <c r="AI131" s="765"/>
      <c r="AJ131" s="765"/>
      <c r="AK131" s="765"/>
      <c r="AL131" s="765"/>
      <c r="AM131" s="434"/>
      <c r="AN131" s="524"/>
      <c r="AO131" s="524"/>
      <c r="AP131" s="524"/>
      <c r="AQ131" s="524"/>
      <c r="AR131" s="524"/>
      <c r="AS131" s="524"/>
      <c r="AT131" s="524"/>
      <c r="AU131" s="524"/>
      <c r="AV131" s="524"/>
      <c r="AW131" s="524"/>
      <c r="AX131" s="524"/>
      <c r="AY131" s="524"/>
      <c r="AZ131" s="524"/>
      <c r="BA131" s="524"/>
      <c r="BB131" s="524"/>
      <c r="BC131" s="524"/>
      <c r="BD131" s="524"/>
    </row>
    <row r="132" spans="1:56" s="6" customFormat="1" ht="11.85" customHeight="1">
      <c r="A132" s="476"/>
      <c r="B132" s="476"/>
      <c r="C132" s="476"/>
      <c r="D132" s="476"/>
      <c r="E132" s="761"/>
      <c r="F132" s="533"/>
      <c r="G132" s="524"/>
      <c r="H132" s="392"/>
      <c r="I132" s="1518"/>
      <c r="J132" s="1518"/>
      <c r="K132" s="1518"/>
      <c r="L132" s="1518"/>
      <c r="M132" s="1518"/>
      <c r="N132" s="1518"/>
      <c r="O132" s="1518"/>
      <c r="P132" s="1518"/>
      <c r="Q132" s="1518"/>
      <c r="R132" s="1591"/>
      <c r="S132" s="1597"/>
      <c r="T132" s="1581"/>
      <c r="U132" s="1581"/>
      <c r="V132" s="1582"/>
      <c r="W132" s="149"/>
      <c r="X132" s="774"/>
      <c r="Y132" s="464"/>
      <c r="Z132" s="464"/>
      <c r="AA132" s="362"/>
      <c r="AB132" s="1577" t="s">
        <v>307</v>
      </c>
      <c r="AC132" s="1577"/>
      <c r="AD132" s="1577"/>
      <c r="AE132" s="1577"/>
      <c r="AF132" s="1577"/>
      <c r="AG132" s="1577"/>
      <c r="AH132" s="1577"/>
      <c r="AI132" s="1577"/>
      <c r="AJ132" s="1577"/>
      <c r="AK132" s="1577"/>
      <c r="AL132" s="441"/>
      <c r="AM132" s="434"/>
      <c r="AN132" s="524"/>
      <c r="AO132" s="524"/>
      <c r="AP132" s="524"/>
      <c r="AQ132" s="524"/>
      <c r="AR132" s="524"/>
      <c r="AS132" s="524"/>
      <c r="AT132" s="524"/>
      <c r="AU132" s="524"/>
      <c r="AV132" s="524"/>
      <c r="AW132" s="524"/>
      <c r="AX132" s="524"/>
      <c r="AY132" s="524"/>
      <c r="AZ132" s="524"/>
      <c r="BA132" s="524"/>
      <c r="BB132" s="524"/>
      <c r="BC132" s="524"/>
      <c r="BD132" s="524"/>
    </row>
    <row r="133" spans="1:56" s="6" customFormat="1" ht="2.4500000000000002" customHeight="1">
      <c r="A133" s="476"/>
      <c r="B133" s="476"/>
      <c r="C133" s="476"/>
      <c r="D133" s="476"/>
      <c r="E133" s="761"/>
      <c r="F133" s="533"/>
      <c r="G133" s="524"/>
      <c r="H133" s="392"/>
      <c r="I133" s="237"/>
      <c r="J133" s="237"/>
      <c r="K133" s="237"/>
      <c r="L133" s="237"/>
      <c r="M133" s="237"/>
      <c r="N133" s="237"/>
      <c r="O133" s="237"/>
      <c r="P133" s="237"/>
      <c r="Q133" s="237"/>
      <c r="R133" s="1591"/>
      <c r="S133" s="1597"/>
      <c r="T133" s="235"/>
      <c r="U133" s="235"/>
      <c r="V133" s="667"/>
      <c r="W133" s="149"/>
      <c r="X133" s="778"/>
      <c r="Y133" s="362"/>
      <c r="Z133" s="362"/>
      <c r="AA133" s="362"/>
      <c r="AB133" s="1577"/>
      <c r="AC133" s="1577"/>
      <c r="AD133" s="1577"/>
      <c r="AE133" s="1577"/>
      <c r="AF133" s="1577"/>
      <c r="AG133" s="1577"/>
      <c r="AH133" s="1577"/>
      <c r="AI133" s="1577"/>
      <c r="AJ133" s="1577"/>
      <c r="AK133" s="1577"/>
      <c r="AL133" s="441"/>
      <c r="AM133" s="434"/>
      <c r="AN133" s="524"/>
      <c r="AO133" s="524"/>
      <c r="AP133" s="524"/>
      <c r="AQ133" s="524"/>
      <c r="AR133" s="524"/>
      <c r="AS133" s="524"/>
      <c r="AT133" s="524"/>
      <c r="AU133" s="524"/>
      <c r="AV133" s="524"/>
      <c r="AW133" s="524"/>
      <c r="AX133" s="524"/>
      <c r="AY133" s="524"/>
      <c r="AZ133" s="524"/>
      <c r="BA133" s="524"/>
      <c r="BB133" s="524"/>
      <c r="BC133" s="524"/>
      <c r="BD133" s="524"/>
    </row>
    <row r="134" spans="1:56" ht="11.85" customHeight="1">
      <c r="A134" s="476"/>
      <c r="B134" s="476"/>
      <c r="C134" s="476"/>
      <c r="D134" s="476"/>
      <c r="E134" s="761"/>
      <c r="F134" s="533"/>
      <c r="G134" s="524"/>
      <c r="H134" s="392"/>
      <c r="I134" s="1598" t="str">
        <f>IF(ZRB!G90&gt;ZRB!G91,"Erlös-Erwartung:","")</f>
        <v/>
      </c>
      <c r="J134" s="1598"/>
      <c r="K134" s="1598"/>
      <c r="L134" s="1598"/>
      <c r="M134" s="1580" t="str">
        <f>IF(ZRB!G90&gt;ZRB!G91,IF(ZRB!G94=0,"",ZRB!G94),"")</f>
        <v/>
      </c>
      <c r="N134" s="1580"/>
      <c r="O134" s="1587" t="str">
        <f>IF(ZRB!G90&gt;ZRB!G91,IF(ZRB!G32=0,"",ZRB!G32),"")</f>
        <v/>
      </c>
      <c r="P134" s="1587"/>
      <c r="Q134" s="1587"/>
      <c r="R134" s="1591"/>
      <c r="S134" s="1597"/>
      <c r="T134" s="1503"/>
      <c r="U134" s="1503"/>
      <c r="V134" s="1504"/>
      <c r="W134" s="149"/>
      <c r="X134" s="766"/>
      <c r="Y134" s="784"/>
      <c r="Z134" s="784"/>
      <c r="AA134" s="784"/>
      <c r="AB134" s="1578"/>
      <c r="AC134" s="1578"/>
      <c r="AD134" s="1578"/>
      <c r="AE134" s="1578"/>
      <c r="AF134" s="1578"/>
      <c r="AG134" s="1578"/>
      <c r="AH134" s="1578"/>
      <c r="AI134" s="1578"/>
      <c r="AJ134" s="1578"/>
      <c r="AK134" s="1578"/>
      <c r="AL134" s="784"/>
      <c r="AM134" s="434"/>
      <c r="AN134" s="524"/>
      <c r="AO134" s="524"/>
      <c r="AP134" s="524"/>
      <c r="AQ134" s="524"/>
      <c r="AR134" s="524"/>
      <c r="AS134" s="524"/>
      <c r="AT134" s="524"/>
      <c r="AU134" s="524"/>
      <c r="AV134" s="524"/>
      <c r="AW134" s="524"/>
      <c r="AX134" s="524"/>
      <c r="AY134" s="524"/>
      <c r="AZ134" s="524"/>
      <c r="BA134" s="524"/>
      <c r="BB134" s="524"/>
      <c r="BC134" s="524"/>
      <c r="BD134" s="524"/>
    </row>
    <row r="135" spans="1:56" s="6" customFormat="1" ht="2.4500000000000002" customHeight="1">
      <c r="A135" s="476"/>
      <c r="B135" s="476"/>
      <c r="C135" s="476"/>
      <c r="D135" s="476"/>
      <c r="E135" s="761"/>
      <c r="F135" s="533"/>
      <c r="G135" s="524"/>
      <c r="H135" s="392"/>
      <c r="I135" s="237"/>
      <c r="J135" s="237"/>
      <c r="K135" s="237"/>
      <c r="L135" s="237"/>
      <c r="M135" s="237"/>
      <c r="N135" s="237"/>
      <c r="O135" s="237"/>
      <c r="P135" s="237"/>
      <c r="Q135" s="237"/>
      <c r="R135" s="1591"/>
      <c r="S135" s="1597"/>
      <c r="T135" s="235"/>
      <c r="U135" s="235"/>
      <c r="V135" s="667"/>
      <c r="W135" s="149"/>
      <c r="X135" s="779"/>
      <c r="Y135" s="421"/>
      <c r="Z135" s="421"/>
      <c r="AA135" s="421"/>
      <c r="AB135" s="421"/>
      <c r="AC135" s="421"/>
      <c r="AD135" s="421"/>
      <c r="AE135" s="421"/>
      <c r="AF135" s="421"/>
      <c r="AG135" s="421"/>
      <c r="AH135" s="421"/>
      <c r="AI135" s="421"/>
      <c r="AJ135" s="421"/>
      <c r="AK135" s="421"/>
      <c r="AL135" s="421"/>
      <c r="AM135" s="777"/>
      <c r="AN135" s="524"/>
      <c r="AO135" s="524"/>
      <c r="AP135" s="524"/>
      <c r="AQ135" s="524"/>
      <c r="AR135" s="524"/>
      <c r="AS135" s="524"/>
      <c r="AT135" s="524"/>
      <c r="AU135" s="524"/>
      <c r="AV135" s="524"/>
      <c r="AW135" s="524"/>
      <c r="AX135" s="524"/>
      <c r="AY135" s="524"/>
      <c r="AZ135" s="524"/>
      <c r="BA135" s="524"/>
      <c r="BB135" s="524"/>
      <c r="BC135" s="524"/>
      <c r="BD135" s="524"/>
    </row>
    <row r="136" spans="1:56" ht="11.85" customHeight="1">
      <c r="A136" s="476"/>
      <c r="B136" s="476"/>
      <c r="C136" s="476"/>
      <c r="D136" s="476"/>
      <c r="E136" s="761"/>
      <c r="F136" s="533"/>
      <c r="G136" s="524"/>
      <c r="H136" s="392"/>
      <c r="I136" s="1515" t="s">
        <v>372</v>
      </c>
      <c r="J136" s="1515"/>
      <c r="K136" s="1515"/>
      <c r="L136" s="1515"/>
      <c r="M136" s="1515"/>
      <c r="N136" s="1515"/>
      <c r="O136" s="1515"/>
      <c r="P136" s="1515"/>
      <c r="Q136" s="1515"/>
      <c r="R136" s="689"/>
      <c r="S136" s="689"/>
      <c r="T136" s="1599" t="str">
        <f>IF(ZRB!G13&lt;3,ZRB!G86,"")</f>
        <v/>
      </c>
      <c r="U136" s="1599"/>
      <c r="V136" s="1600"/>
      <c r="W136" s="149"/>
      <c r="X136" s="776"/>
      <c r="Y136" s="1498" t="s">
        <v>522</v>
      </c>
      <c r="Z136" s="1498"/>
      <c r="AA136" s="1498"/>
      <c r="AB136" s="1498"/>
      <c r="AC136" s="1498"/>
      <c r="AD136" s="1498"/>
      <c r="AE136" s="1498"/>
      <c r="AF136" s="1498"/>
      <c r="AG136" s="1498"/>
      <c r="AH136" s="556"/>
      <c r="AI136" s="556"/>
      <c r="AJ136" s="556"/>
      <c r="AK136" s="556"/>
      <c r="AL136" s="556"/>
      <c r="AM136" s="562"/>
      <c r="AN136" s="524"/>
      <c r="AO136" s="524"/>
      <c r="AP136" s="524"/>
      <c r="AQ136" s="524"/>
      <c r="AR136" s="524"/>
      <c r="AS136" s="524"/>
      <c r="AT136" s="524"/>
      <c r="AU136" s="524"/>
      <c r="AV136" s="524"/>
      <c r="AW136" s="524"/>
      <c r="AX136" s="524"/>
      <c r="AY136" s="524"/>
      <c r="AZ136" s="524"/>
      <c r="BA136" s="524"/>
      <c r="BB136" s="524"/>
      <c r="BC136" s="524"/>
      <c r="BD136" s="524"/>
    </row>
    <row r="137" spans="1:56" s="6" customFormat="1" ht="2.4500000000000002" customHeight="1">
      <c r="A137" s="476"/>
      <c r="B137" s="476"/>
      <c r="C137" s="476"/>
      <c r="D137" s="476"/>
      <c r="E137" s="761"/>
      <c r="F137" s="533"/>
      <c r="G137" s="524"/>
      <c r="H137" s="392"/>
      <c r="I137" s="1515"/>
      <c r="J137" s="1515"/>
      <c r="K137" s="1515"/>
      <c r="L137" s="1515"/>
      <c r="M137" s="1515"/>
      <c r="N137" s="1515"/>
      <c r="O137" s="1515"/>
      <c r="P137" s="1515"/>
      <c r="Q137" s="1515"/>
      <c r="R137" s="689"/>
      <c r="S137" s="689"/>
      <c r="T137" s="1599"/>
      <c r="U137" s="1599"/>
      <c r="V137" s="1600"/>
      <c r="W137" s="149"/>
      <c r="X137" s="776"/>
      <c r="Y137" s="1498"/>
      <c r="Z137" s="1498"/>
      <c r="AA137" s="1498"/>
      <c r="AB137" s="1498"/>
      <c r="AC137" s="1498"/>
      <c r="AD137" s="1498"/>
      <c r="AE137" s="1498"/>
      <c r="AF137" s="1498"/>
      <c r="AG137" s="1498"/>
      <c r="AH137" s="556"/>
      <c r="AI137" s="556"/>
      <c r="AJ137" s="556"/>
      <c r="AK137" s="556"/>
      <c r="AL137" s="556"/>
      <c r="AM137" s="562"/>
      <c r="AN137" s="524"/>
      <c r="AO137" s="524"/>
      <c r="AP137" s="524"/>
      <c r="AQ137" s="524"/>
      <c r="AR137" s="524"/>
      <c r="AS137" s="524"/>
      <c r="AT137" s="524"/>
      <c r="AU137" s="524"/>
      <c r="AV137" s="524"/>
      <c r="AW137" s="524"/>
      <c r="AX137" s="524"/>
      <c r="AY137" s="524"/>
      <c r="AZ137" s="524"/>
      <c r="BA137" s="524"/>
      <c r="BB137" s="524"/>
      <c r="BC137" s="524"/>
      <c r="BD137" s="524"/>
    </row>
    <row r="138" spans="1:56" ht="11.85" customHeight="1">
      <c r="A138" s="476"/>
      <c r="B138" s="476"/>
      <c r="C138" s="476"/>
      <c r="D138" s="476"/>
      <c r="E138" s="761"/>
      <c r="F138" s="533"/>
      <c r="G138" s="524"/>
      <c r="H138" s="392"/>
      <c r="I138" s="1515"/>
      <c r="J138" s="1515"/>
      <c r="K138" s="1515"/>
      <c r="L138" s="1515"/>
      <c r="M138" s="1515"/>
      <c r="N138" s="1515"/>
      <c r="O138" s="1515"/>
      <c r="P138" s="1515"/>
      <c r="Q138" s="1515"/>
      <c r="R138" s="689"/>
      <c r="S138" s="689"/>
      <c r="T138" s="1599"/>
      <c r="U138" s="1599"/>
      <c r="V138" s="1600"/>
      <c r="W138" s="149"/>
      <c r="X138" s="776"/>
      <c r="Y138" s="1498"/>
      <c r="Z138" s="1498"/>
      <c r="AA138" s="1498"/>
      <c r="AB138" s="1498"/>
      <c r="AC138" s="1498"/>
      <c r="AD138" s="1498"/>
      <c r="AE138" s="1498"/>
      <c r="AF138" s="1498"/>
      <c r="AG138" s="1498"/>
      <c r="AH138" s="556"/>
      <c r="AI138" s="556"/>
      <c r="AJ138" s="556"/>
      <c r="AK138" s="697" t="s">
        <v>376</v>
      </c>
      <c r="AL138" s="556"/>
      <c r="AM138" s="562"/>
      <c r="AN138" s="524"/>
      <c r="AO138" s="524"/>
      <c r="AP138" s="524"/>
      <c r="AQ138" s="524"/>
      <c r="AR138" s="524"/>
      <c r="AS138" s="524"/>
      <c r="AT138" s="524"/>
      <c r="AU138" s="524"/>
      <c r="AV138" s="524"/>
      <c r="AW138" s="524"/>
      <c r="AX138" s="524"/>
      <c r="AY138" s="524"/>
      <c r="AZ138" s="524"/>
      <c r="BA138" s="524"/>
      <c r="BB138" s="524"/>
      <c r="BC138" s="524"/>
      <c r="BD138" s="524"/>
    </row>
    <row r="139" spans="1:56" s="6" customFormat="1" ht="2.4500000000000002" customHeight="1">
      <c r="A139" s="476"/>
      <c r="B139" s="476"/>
      <c r="C139" s="476"/>
      <c r="D139" s="476"/>
      <c r="E139" s="761"/>
      <c r="F139" s="533"/>
      <c r="G139" s="524"/>
      <c r="H139" s="392"/>
      <c r="I139" s="237"/>
      <c r="J139" s="237"/>
      <c r="K139" s="237"/>
      <c r="L139" s="237"/>
      <c r="M139" s="237"/>
      <c r="N139" s="237"/>
      <c r="O139" s="237"/>
      <c r="P139" s="237"/>
      <c r="Q139" s="237"/>
      <c r="R139" s="237"/>
      <c r="S139" s="237"/>
      <c r="T139" s="235"/>
      <c r="U139" s="235"/>
      <c r="V139" s="667"/>
      <c r="W139" s="149"/>
      <c r="X139" s="766"/>
      <c r="Y139" s="1570" t="str">
        <f>"&gt; Strombezugspreis  HEUTE"</f>
        <v>&gt; Strombezugspreis  HEUTE</v>
      </c>
      <c r="Z139" s="1571"/>
      <c r="AA139" s="1571"/>
      <c r="AB139" s="1571"/>
      <c r="AC139" s="1571"/>
      <c r="AD139" s="1571"/>
      <c r="AE139" s="1571"/>
      <c r="AF139" s="1571"/>
      <c r="AG139" s="780"/>
      <c r="AH139" s="781"/>
      <c r="AI139" s="781"/>
      <c r="AJ139" s="1589">
        <f>ZRB!G99</f>
        <v>0.21</v>
      </c>
      <c r="AK139" s="1589"/>
      <c r="AL139" s="1590"/>
      <c r="AM139" s="771"/>
      <c r="AN139" s="524"/>
      <c r="AO139" s="524"/>
      <c r="AP139" s="524"/>
      <c r="AQ139" s="524"/>
      <c r="AR139" s="524"/>
      <c r="AS139" s="524"/>
      <c r="AT139" s="524"/>
      <c r="AU139" s="524"/>
      <c r="AV139" s="524"/>
      <c r="AW139" s="524"/>
      <c r="AX139" s="524"/>
      <c r="AY139" s="524"/>
      <c r="AZ139" s="524"/>
      <c r="BA139" s="524"/>
      <c r="BB139" s="524"/>
      <c r="BC139" s="524"/>
      <c r="BD139" s="524"/>
    </row>
    <row r="140" spans="1:56" ht="11.85" customHeight="1">
      <c r="A140" s="476"/>
      <c r="B140" s="476"/>
      <c r="C140" s="476"/>
      <c r="D140" s="476"/>
      <c r="E140" s="761"/>
      <c r="F140" s="533"/>
      <c r="G140" s="524"/>
      <c r="H140" s="646"/>
      <c r="I140" s="670" t="s">
        <v>373</v>
      </c>
      <c r="J140" s="647"/>
      <c r="K140" s="648"/>
      <c r="L140" s="648"/>
      <c r="M140" s="648"/>
      <c r="N140" s="648"/>
      <c r="O140" s="648"/>
      <c r="P140" s="649"/>
      <c r="Q140" s="650"/>
      <c r="R140" s="650"/>
      <c r="S140" s="650"/>
      <c r="T140" s="679"/>
      <c r="U140" s="679"/>
      <c r="V140" s="680"/>
      <c r="W140" s="149"/>
      <c r="X140" s="766"/>
      <c r="Y140" s="1572"/>
      <c r="Z140" s="1573"/>
      <c r="AA140" s="1573"/>
      <c r="AB140" s="1573"/>
      <c r="AC140" s="1573"/>
      <c r="AD140" s="1573"/>
      <c r="AE140" s="1573"/>
      <c r="AF140" s="1573"/>
      <c r="AG140" s="690"/>
      <c r="AH140" s="371"/>
      <c r="AI140" s="371"/>
      <c r="AJ140" s="1506"/>
      <c r="AK140" s="1506"/>
      <c r="AL140" s="1507"/>
      <c r="AM140" s="771"/>
      <c r="AN140" s="524"/>
      <c r="AO140" s="524"/>
      <c r="AP140" s="524"/>
      <c r="AQ140" s="524"/>
      <c r="AR140" s="524"/>
      <c r="AS140" s="524"/>
      <c r="AT140" s="524"/>
      <c r="AU140" s="524"/>
      <c r="AV140" s="524"/>
      <c r="AW140" s="524"/>
      <c r="AX140" s="524"/>
      <c r="AY140" s="524"/>
      <c r="AZ140" s="524"/>
      <c r="BA140" s="524"/>
      <c r="BB140" s="524"/>
      <c r="BC140" s="524"/>
      <c r="BD140" s="524"/>
    </row>
    <row r="141" spans="1:56" s="6" customFormat="1" ht="2.4500000000000002" customHeight="1">
      <c r="A141" s="476"/>
      <c r="B141" s="476"/>
      <c r="C141" s="476"/>
      <c r="D141" s="476"/>
      <c r="E141" s="761"/>
      <c r="F141" s="533"/>
      <c r="G141" s="524"/>
      <c r="H141" s="392"/>
      <c r="I141" s="1518" t="str">
        <f>IF(ZRB!G13&lt;3,"&gt; Strom-Eigenverbrauchsbonus ( 0 - "&amp;ZRB!Z7*100&amp;"% )","")</f>
        <v/>
      </c>
      <c r="J141" s="1518"/>
      <c r="K141" s="1518"/>
      <c r="L141" s="1518"/>
      <c r="M141" s="1518"/>
      <c r="N141" s="1518"/>
      <c r="O141" s="1518"/>
      <c r="P141" s="1518"/>
      <c r="Q141" s="1518"/>
      <c r="R141" s="237"/>
      <c r="S141" s="237"/>
      <c r="T141" s="235"/>
      <c r="U141" s="235"/>
      <c r="V141" s="667"/>
      <c r="W141" s="149"/>
      <c r="X141" s="766"/>
      <c r="Y141" s="1572" t="str">
        <f>"&gt; Strombezugspreis  in "&amp;ROUND(ZRB!G90,0)&amp;" Jahren"</f>
        <v>&gt; Strombezugspreis  in 20 Jahren</v>
      </c>
      <c r="Z141" s="1573"/>
      <c r="AA141" s="1573"/>
      <c r="AB141" s="1573"/>
      <c r="AC141" s="1573"/>
      <c r="AD141" s="1573"/>
      <c r="AE141" s="1573"/>
      <c r="AF141" s="1542" t="str">
        <f>"(Inflationsrate: "&amp;ROUND(ZRB!G100*100,1)&amp;"%)"</f>
        <v>(Inflationsrate: 1%)</v>
      </c>
      <c r="AG141" s="1542"/>
      <c r="AH141" s="1542"/>
      <c r="AI141" s="1542"/>
      <c r="AJ141" s="1506">
        <f>ZRB!G101</f>
        <v>0.25370287959314164</v>
      </c>
      <c r="AK141" s="1506"/>
      <c r="AL141" s="1507"/>
      <c r="AM141" s="771"/>
      <c r="AN141" s="524"/>
      <c r="AO141" s="524"/>
      <c r="AP141" s="524"/>
      <c r="AQ141" s="524"/>
      <c r="AR141" s="524"/>
      <c r="AS141" s="524"/>
      <c r="AT141" s="524"/>
      <c r="AU141" s="524"/>
      <c r="AV141" s="524"/>
      <c r="AW141" s="524"/>
      <c r="AX141" s="524"/>
      <c r="AY141" s="524"/>
      <c r="AZ141" s="524"/>
      <c r="BA141" s="524"/>
      <c r="BB141" s="524"/>
      <c r="BC141" s="524"/>
      <c r="BD141" s="524"/>
    </row>
    <row r="142" spans="1:56" ht="11.85" customHeight="1">
      <c r="A142" s="476"/>
      <c r="B142" s="476"/>
      <c r="C142" s="476"/>
      <c r="D142" s="476"/>
      <c r="E142" s="761"/>
      <c r="F142" s="533"/>
      <c r="G142" s="524"/>
      <c r="H142" s="392"/>
      <c r="I142" s="1518"/>
      <c r="J142" s="1518"/>
      <c r="K142" s="1518"/>
      <c r="L142" s="1518"/>
      <c r="M142" s="1518"/>
      <c r="N142" s="1518"/>
      <c r="O142" s="1518"/>
      <c r="P142" s="1518"/>
      <c r="Q142" s="1518"/>
      <c r="R142" s="1591" t="str">
        <f>IF(AND(ZRB!G97&lt;3,ZRB!G90&gt;ZRB!G91),"Verrechnungsanteil","")</f>
        <v/>
      </c>
      <c r="S142" s="1591" t="str">
        <f>IF(Kalkulation_Eigenstrom!$AN$51&lt;3,IF(ZRB!G90&gt;ZRB!G91,""&amp;ROUND(ZRB!G92*100,1)&amp;"%",""),"")</f>
        <v/>
      </c>
      <c r="T142" s="1581" t="str">
        <f>IF(ZRB!AG12=0,"",ZRB!AG12)</f>
        <v/>
      </c>
      <c r="U142" s="1581"/>
      <c r="V142" s="1582"/>
      <c r="W142" s="149"/>
      <c r="X142" s="766"/>
      <c r="Y142" s="1574"/>
      <c r="Z142" s="1575"/>
      <c r="AA142" s="1575"/>
      <c r="AB142" s="1575"/>
      <c r="AC142" s="1575"/>
      <c r="AD142" s="1575"/>
      <c r="AE142" s="1575"/>
      <c r="AF142" s="1576"/>
      <c r="AG142" s="1576"/>
      <c r="AH142" s="1576"/>
      <c r="AI142" s="1576"/>
      <c r="AJ142" s="1508"/>
      <c r="AK142" s="1508"/>
      <c r="AL142" s="1509"/>
      <c r="AM142" s="771"/>
      <c r="AN142" s="524"/>
      <c r="AO142" s="524"/>
      <c r="AP142" s="524"/>
      <c r="AQ142" s="524"/>
      <c r="AR142" s="524"/>
      <c r="AS142" s="524"/>
      <c r="AT142" s="524"/>
      <c r="AU142" s="524"/>
      <c r="AV142" s="524"/>
      <c r="AW142" s="524"/>
      <c r="AX142" s="524"/>
      <c r="AY142" s="524"/>
      <c r="AZ142" s="524"/>
      <c r="BA142" s="524"/>
      <c r="BB142" s="524"/>
      <c r="BC142" s="524"/>
      <c r="BD142" s="524"/>
    </row>
    <row r="143" spans="1:56" s="6" customFormat="1" ht="2.4500000000000002" customHeight="1">
      <c r="A143" s="476"/>
      <c r="B143" s="476"/>
      <c r="C143" s="476"/>
      <c r="D143" s="476"/>
      <c r="E143" s="761"/>
      <c r="F143" s="533"/>
      <c r="G143" s="524"/>
      <c r="H143" s="392"/>
      <c r="I143" s="237"/>
      <c r="J143" s="237"/>
      <c r="K143" s="237"/>
      <c r="L143" s="237"/>
      <c r="M143" s="237"/>
      <c r="N143" s="237"/>
      <c r="O143" s="237"/>
      <c r="P143" s="237"/>
      <c r="Q143" s="237"/>
      <c r="R143" s="1591"/>
      <c r="S143" s="1591"/>
      <c r="T143" s="235"/>
      <c r="U143" s="235"/>
      <c r="V143" s="667"/>
      <c r="W143" s="149"/>
      <c r="X143" s="766"/>
      <c r="Y143" s="1530" t="str">
        <f>"   Strombezugspreis im  ø der "&amp;ZRB!G90&amp;" Laufzeit:"</f>
        <v xml:space="preserve">   Strombezugspreis im  ø der 20 Laufzeit:</v>
      </c>
      <c r="Z143" s="1531"/>
      <c r="AA143" s="1531"/>
      <c r="AB143" s="1531"/>
      <c r="AC143" s="1531"/>
      <c r="AD143" s="1531"/>
      <c r="AE143" s="1531"/>
      <c r="AF143" s="1531"/>
      <c r="AG143" s="1531"/>
      <c r="AH143" s="371"/>
      <c r="AI143" s="371"/>
      <c r="AJ143" s="1601">
        <f>ZRB!G102</f>
        <v>0.2318514397965708</v>
      </c>
      <c r="AK143" s="1601"/>
      <c r="AL143" s="1602"/>
      <c r="AM143" s="772"/>
      <c r="AN143" s="524"/>
      <c r="AO143" s="524"/>
      <c r="AP143" s="524"/>
      <c r="AQ143" s="524"/>
      <c r="AR143" s="524"/>
      <c r="AS143" s="524"/>
      <c r="AT143" s="524"/>
      <c r="AU143" s="524"/>
      <c r="AV143" s="524"/>
      <c r="AW143" s="524"/>
      <c r="AX143" s="524"/>
      <c r="AY143" s="524"/>
      <c r="AZ143" s="524"/>
      <c r="BA143" s="524"/>
      <c r="BB143" s="524"/>
      <c r="BC143" s="524"/>
      <c r="BD143" s="524"/>
    </row>
    <row r="144" spans="1:56" ht="11.85" customHeight="1">
      <c r="A144" s="476"/>
      <c r="B144" s="476"/>
      <c r="C144" s="476"/>
      <c r="D144" s="476"/>
      <c r="E144" s="761"/>
      <c r="F144" s="533"/>
      <c r="G144" s="524"/>
      <c r="H144" s="392"/>
      <c r="I144" s="1519" t="str">
        <f>Kalkulation_Eigenstrom!BG63</f>
        <v/>
      </c>
      <c r="J144" s="1519"/>
      <c r="K144" s="1579" t="str">
        <f>Kalkulation_Eigenstrom!BI63</f>
        <v/>
      </c>
      <c r="L144" s="1579"/>
      <c r="M144" s="1580" t="str">
        <f>Kalkulation_Eigenstrom!BK63</f>
        <v/>
      </c>
      <c r="N144" s="1580"/>
      <c r="O144" s="1517" t="str">
        <f>Kalkulation_Eigenstrom!BM63</f>
        <v/>
      </c>
      <c r="P144" s="1517"/>
      <c r="Q144" s="1517"/>
      <c r="R144" s="1591"/>
      <c r="S144" s="1591"/>
      <c r="T144" s="1503"/>
      <c r="U144" s="1503"/>
      <c r="V144" s="1504"/>
      <c r="W144" s="149"/>
      <c r="X144" s="766"/>
      <c r="Y144" s="1532"/>
      <c r="Z144" s="1318"/>
      <c r="AA144" s="1318"/>
      <c r="AB144" s="1318"/>
      <c r="AC144" s="1318"/>
      <c r="AD144" s="1318"/>
      <c r="AE144" s="1318"/>
      <c r="AF144" s="1318"/>
      <c r="AG144" s="1318"/>
      <c r="AH144" s="371"/>
      <c r="AI144" s="371"/>
      <c r="AJ144" s="1603"/>
      <c r="AK144" s="1603"/>
      <c r="AL144" s="1604"/>
      <c r="AM144" s="772"/>
      <c r="AN144" s="524"/>
      <c r="AO144" s="524"/>
      <c r="AP144" s="524"/>
      <c r="AQ144" s="524"/>
      <c r="AR144" s="524"/>
      <c r="AS144" s="524"/>
      <c r="AT144" s="524"/>
      <c r="AU144" s="524"/>
      <c r="AV144" s="524"/>
      <c r="AW144" s="524"/>
      <c r="AX144" s="524"/>
      <c r="AY144" s="524"/>
      <c r="AZ144" s="524"/>
      <c r="BA144" s="524"/>
      <c r="BB144" s="524"/>
      <c r="BC144" s="524"/>
      <c r="BD144" s="524"/>
    </row>
    <row r="145" spans="1:56" s="6" customFormat="1" ht="2.4500000000000002" customHeight="1">
      <c r="A145" s="476"/>
      <c r="B145" s="476"/>
      <c r="C145" s="476"/>
      <c r="D145" s="476"/>
      <c r="E145" s="761"/>
      <c r="F145" s="533"/>
      <c r="G145" s="524"/>
      <c r="H145" s="392"/>
      <c r="I145" s="675"/>
      <c r="J145" s="675"/>
      <c r="K145" s="675"/>
      <c r="L145" s="675"/>
      <c r="M145" s="675"/>
      <c r="N145" s="675"/>
      <c r="O145" s="675"/>
      <c r="P145" s="675"/>
      <c r="Q145" s="675"/>
      <c r="R145" s="1591"/>
      <c r="S145" s="1591"/>
      <c r="T145" s="235"/>
      <c r="U145" s="235"/>
      <c r="V145" s="667"/>
      <c r="W145" s="149"/>
      <c r="X145" s="766"/>
      <c r="Y145" s="1532"/>
      <c r="Z145" s="1318"/>
      <c r="AA145" s="1318"/>
      <c r="AB145" s="1318"/>
      <c r="AC145" s="1318"/>
      <c r="AD145" s="1318"/>
      <c r="AE145" s="1318"/>
      <c r="AF145" s="1318"/>
      <c r="AG145" s="1318"/>
      <c r="AH145" s="371"/>
      <c r="AI145" s="371"/>
      <c r="AJ145" s="1603"/>
      <c r="AK145" s="1603"/>
      <c r="AL145" s="1604"/>
      <c r="AM145" s="772"/>
      <c r="AN145" s="524"/>
      <c r="AO145" s="524"/>
      <c r="AP145" s="524"/>
      <c r="AQ145" s="524"/>
      <c r="AR145" s="524"/>
      <c r="AS145" s="524"/>
      <c r="AT145" s="524"/>
      <c r="AU145" s="524"/>
      <c r="AV145" s="524"/>
      <c r="AW145" s="524"/>
      <c r="AX145" s="524"/>
      <c r="AY145" s="524"/>
      <c r="AZ145" s="524"/>
      <c r="BA145" s="524"/>
      <c r="BB145" s="524"/>
      <c r="BC145" s="524"/>
      <c r="BD145" s="524"/>
    </row>
    <row r="146" spans="1:56" ht="11.85" customHeight="1">
      <c r="A146" s="476"/>
      <c r="B146" s="476"/>
      <c r="C146" s="476"/>
      <c r="D146" s="476"/>
      <c r="E146" s="761"/>
      <c r="F146" s="533"/>
      <c r="G146" s="524"/>
      <c r="H146" s="392"/>
      <c r="I146" s="1519" t="str">
        <f>Kalkulation_Eigenstrom!BG65</f>
        <v/>
      </c>
      <c r="J146" s="1519"/>
      <c r="K146" s="1579" t="str">
        <f>Kalkulation_Eigenstrom!BI65</f>
        <v/>
      </c>
      <c r="L146" s="1579"/>
      <c r="M146" s="1580" t="str">
        <f>Kalkulation_Eigenstrom!BK65</f>
        <v/>
      </c>
      <c r="N146" s="1580"/>
      <c r="O146" s="1517" t="str">
        <f>Kalkulation_Eigenstrom!BM65</f>
        <v/>
      </c>
      <c r="P146" s="1517"/>
      <c r="Q146" s="1517"/>
      <c r="R146" s="1591"/>
      <c r="S146" s="1591"/>
      <c r="T146" s="1503"/>
      <c r="U146" s="1503"/>
      <c r="V146" s="1504"/>
      <c r="W146" s="149"/>
      <c r="X146" s="766"/>
      <c r="Y146" s="1532"/>
      <c r="Z146" s="1318"/>
      <c r="AA146" s="1318"/>
      <c r="AB146" s="1318"/>
      <c r="AC146" s="1318"/>
      <c r="AD146" s="1318"/>
      <c r="AE146" s="1318"/>
      <c r="AF146" s="1318"/>
      <c r="AG146" s="1318"/>
      <c r="AH146" s="371"/>
      <c r="AI146" s="371"/>
      <c r="AJ146" s="1603"/>
      <c r="AK146" s="1603"/>
      <c r="AL146" s="1604"/>
      <c r="AM146" s="772"/>
      <c r="AN146" s="524"/>
      <c r="AO146" s="524"/>
      <c r="AP146" s="524"/>
      <c r="AQ146" s="524"/>
      <c r="AR146" s="524"/>
      <c r="AS146" s="524"/>
      <c r="AT146" s="524"/>
      <c r="AU146" s="524"/>
      <c r="AV146" s="524"/>
      <c r="AW146" s="524"/>
      <c r="AX146" s="524"/>
      <c r="AY146" s="524"/>
      <c r="AZ146" s="524"/>
      <c r="BA146" s="524"/>
      <c r="BB146" s="524"/>
      <c r="BC146" s="524"/>
      <c r="BD146" s="524"/>
    </row>
    <row r="147" spans="1:56" s="6" customFormat="1" ht="2.4500000000000002" customHeight="1">
      <c r="A147" s="476"/>
      <c r="B147" s="476"/>
      <c r="C147" s="476"/>
      <c r="D147" s="476"/>
      <c r="E147" s="761"/>
      <c r="F147" s="533"/>
      <c r="G147" s="524"/>
      <c r="H147" s="392"/>
      <c r="I147" s="675"/>
      <c r="J147" s="675"/>
      <c r="K147" s="675"/>
      <c r="L147" s="675"/>
      <c r="M147" s="675"/>
      <c r="N147" s="675"/>
      <c r="O147" s="675"/>
      <c r="P147" s="675"/>
      <c r="Q147" s="675"/>
      <c r="R147" s="1591"/>
      <c r="S147" s="1591"/>
      <c r="T147" s="235"/>
      <c r="U147" s="235"/>
      <c r="V147" s="667"/>
      <c r="W147" s="149"/>
      <c r="X147" s="766"/>
      <c r="Y147" s="787"/>
      <c r="Z147" s="788"/>
      <c r="AA147" s="788"/>
      <c r="AB147" s="788"/>
      <c r="AC147" s="788"/>
      <c r="AD147" s="788"/>
      <c r="AE147" s="788"/>
      <c r="AF147" s="788"/>
      <c r="AG147" s="788"/>
      <c r="AH147" s="788"/>
      <c r="AI147" s="788"/>
      <c r="AJ147" s="1605"/>
      <c r="AK147" s="1605"/>
      <c r="AL147" s="1606"/>
      <c r="AM147" s="434"/>
      <c r="AN147" s="524"/>
      <c r="AO147" s="524"/>
      <c r="AP147" s="524"/>
      <c r="AQ147" s="524"/>
      <c r="AR147" s="524"/>
      <c r="AS147" s="524"/>
      <c r="AT147" s="524"/>
      <c r="AU147" s="524"/>
      <c r="AV147" s="524"/>
      <c r="AW147" s="524"/>
      <c r="AX147" s="524"/>
      <c r="AY147" s="524"/>
      <c r="AZ147" s="524"/>
      <c r="BA147" s="524"/>
      <c r="BB147" s="524"/>
      <c r="BC147" s="524"/>
      <c r="BD147" s="524"/>
    </row>
    <row r="148" spans="1:56" ht="11.85" customHeight="1">
      <c r="A148" s="476"/>
      <c r="B148" s="476"/>
      <c r="C148" s="476"/>
      <c r="D148" s="476"/>
      <c r="E148" s="761"/>
      <c r="F148" s="533"/>
      <c r="G148" s="524"/>
      <c r="H148" s="392"/>
      <c r="I148" s="1519" t="str">
        <f>Kalkulation_Eigenstrom!BG67</f>
        <v/>
      </c>
      <c r="J148" s="1519"/>
      <c r="K148" s="1579" t="str">
        <f>Kalkulation_Eigenstrom!BI67</f>
        <v/>
      </c>
      <c r="L148" s="1579"/>
      <c r="M148" s="1580" t="str">
        <f>Kalkulation_Eigenstrom!BK67</f>
        <v/>
      </c>
      <c r="N148" s="1580"/>
      <c r="O148" s="1517" t="str">
        <f>Kalkulation_Eigenstrom!BM67</f>
        <v/>
      </c>
      <c r="P148" s="1517"/>
      <c r="Q148" s="1517"/>
      <c r="R148" s="1591"/>
      <c r="S148" s="1591"/>
      <c r="T148" s="1503"/>
      <c r="U148" s="1503"/>
      <c r="V148" s="1504"/>
      <c r="W148" s="149"/>
      <c r="X148" s="571"/>
      <c r="Y148" s="770"/>
      <c r="Z148" s="770"/>
      <c r="AA148" s="770"/>
      <c r="AB148" s="770"/>
      <c r="AC148" s="770"/>
      <c r="AD148" s="770"/>
      <c r="AE148" s="770"/>
      <c r="AF148" s="770"/>
      <c r="AG148" s="770"/>
      <c r="AH148" s="770"/>
      <c r="AI148" s="770"/>
      <c r="AJ148" s="770"/>
      <c r="AK148" s="770"/>
      <c r="AL148" s="770"/>
      <c r="AM148" s="572"/>
      <c r="AN148" s="524"/>
      <c r="AO148" s="524"/>
      <c r="AP148" s="524"/>
      <c r="AQ148" s="524"/>
      <c r="AR148" s="524"/>
      <c r="AS148" s="524"/>
      <c r="AT148" s="524"/>
      <c r="AU148" s="524"/>
      <c r="AV148" s="524"/>
      <c r="AW148" s="524"/>
      <c r="AX148" s="524"/>
      <c r="AY148" s="524"/>
      <c r="AZ148" s="524"/>
      <c r="BA148" s="524"/>
      <c r="BB148" s="524"/>
      <c r="BC148" s="524"/>
      <c r="BD148" s="524"/>
    </row>
    <row r="149" spans="1:56" s="6" customFormat="1" ht="2.4500000000000002" customHeight="1">
      <c r="A149" s="476"/>
      <c r="B149" s="476"/>
      <c r="C149" s="476"/>
      <c r="D149" s="476"/>
      <c r="E149" s="761"/>
      <c r="F149" s="533"/>
      <c r="G149" s="524"/>
      <c r="H149" s="392"/>
      <c r="I149" s="1518" t="str">
        <f>IF(AND(ZRB!G13&lt;3,$O$152&gt;0),"&gt; Strom-Eigenverbrauchsbonus ( "&amp;ROUND(ZRB!Z7*100,0)&amp;"-"&amp;ROUND(ZRB!I31*100,0)&amp;"% )","")</f>
        <v/>
      </c>
      <c r="J149" s="1518"/>
      <c r="K149" s="1518"/>
      <c r="L149" s="1518"/>
      <c r="M149" s="1518"/>
      <c r="N149" s="1518"/>
      <c r="O149" s="1518"/>
      <c r="P149" s="1518"/>
      <c r="Q149" s="1518"/>
      <c r="R149" s="1591"/>
      <c r="S149" s="1591"/>
      <c r="T149" s="235"/>
      <c r="U149" s="235"/>
      <c r="V149" s="667"/>
      <c r="W149" s="149"/>
      <c r="X149" s="571"/>
      <c r="Y149" s="789"/>
      <c r="Z149" s="790"/>
      <c r="AA149" s="790"/>
      <c r="AB149" s="790"/>
      <c r="AC149" s="790"/>
      <c r="AD149" s="790"/>
      <c r="AE149" s="790"/>
      <c r="AF149" s="790"/>
      <c r="AG149" s="790"/>
      <c r="AH149" s="790"/>
      <c r="AI149" s="790"/>
      <c r="AJ149" s="790"/>
      <c r="AK149" s="790"/>
      <c r="AL149" s="791"/>
      <c r="AM149" s="572"/>
      <c r="AN149" s="524"/>
      <c r="AO149" s="524"/>
      <c r="AP149" s="524"/>
      <c r="AQ149" s="524"/>
      <c r="AR149" s="524"/>
      <c r="AS149" s="524"/>
      <c r="AT149" s="524"/>
      <c r="AU149" s="524"/>
      <c r="AV149" s="524"/>
      <c r="AW149" s="524"/>
      <c r="AX149" s="524"/>
      <c r="AY149" s="524"/>
      <c r="AZ149" s="524"/>
      <c r="BA149" s="524"/>
      <c r="BB149" s="524"/>
      <c r="BC149" s="524"/>
      <c r="BD149" s="524"/>
    </row>
    <row r="150" spans="1:56" ht="11.85" customHeight="1">
      <c r="A150" s="476"/>
      <c r="B150" s="476"/>
      <c r="C150" s="476"/>
      <c r="D150" s="476"/>
      <c r="E150" s="761"/>
      <c r="F150" s="533"/>
      <c r="G150" s="524"/>
      <c r="H150" s="392"/>
      <c r="I150" s="1518"/>
      <c r="J150" s="1518"/>
      <c r="K150" s="1518"/>
      <c r="L150" s="1518"/>
      <c r="M150" s="1518"/>
      <c r="N150" s="1518"/>
      <c r="O150" s="1518"/>
      <c r="P150" s="1518"/>
      <c r="Q150" s="1518"/>
      <c r="R150" s="1591"/>
      <c r="S150" s="1591"/>
      <c r="T150" s="1581" t="str">
        <f>IF(ZRB!AH12=0,"",ZRB!AH12)</f>
        <v/>
      </c>
      <c r="U150" s="1581"/>
      <c r="V150" s="1582"/>
      <c r="W150" s="149"/>
      <c r="X150" s="571"/>
      <c r="Y150" s="1496" t="str">
        <f>IF(Kalkulation_Eigenstrom!$AN$13=1,"",IF(ZRB!G33=1,"",IF(ZRB!G5=1,"","Bei der geplanten "&amp;ZRB!G10&amp;" ("&amp;ROUND(ZRB!G6,2)&amp;" kWp) mit einem spez. Ertrag von "&amp;ZRB!G18&amp;" kWh/kWp,")))</f>
        <v/>
      </c>
      <c r="Z150" s="1341"/>
      <c r="AA150" s="1341"/>
      <c r="AB150" s="1341"/>
      <c r="AC150" s="1341"/>
      <c r="AD150" s="1341"/>
      <c r="AE150" s="1341"/>
      <c r="AF150" s="1341"/>
      <c r="AG150" s="1341"/>
      <c r="AH150" s="1341"/>
      <c r="AI150" s="1341"/>
      <c r="AJ150" s="1341"/>
      <c r="AK150" s="1341"/>
      <c r="AL150" s="1497"/>
      <c r="AM150" s="572"/>
      <c r="AN150" s="524"/>
      <c r="AO150" s="524"/>
      <c r="AP150" s="524"/>
      <c r="AQ150" s="524"/>
      <c r="AR150" s="524"/>
      <c r="AS150" s="524"/>
      <c r="AT150" s="524"/>
      <c r="AU150" s="524"/>
      <c r="AV150" s="524"/>
      <c r="AW150" s="524"/>
      <c r="AX150" s="524"/>
      <c r="AY150" s="524"/>
      <c r="AZ150" s="524"/>
      <c r="BA150" s="524"/>
      <c r="BB150" s="524"/>
      <c r="BC150" s="524"/>
      <c r="BD150" s="524"/>
    </row>
    <row r="151" spans="1:56" ht="2.4500000000000002" customHeight="1">
      <c r="A151" s="476"/>
      <c r="B151" s="476"/>
      <c r="C151" s="476"/>
      <c r="D151" s="476"/>
      <c r="E151" s="761"/>
      <c r="F151" s="533"/>
      <c r="G151" s="524"/>
      <c r="H151" s="392"/>
      <c r="I151" s="237"/>
      <c r="J151" s="237"/>
      <c r="K151" s="237"/>
      <c r="L151" s="237"/>
      <c r="M151" s="237"/>
      <c r="N151" s="237"/>
      <c r="O151" s="237"/>
      <c r="P151" s="237"/>
      <c r="Q151" s="237"/>
      <c r="R151" s="1591"/>
      <c r="S151" s="1591"/>
      <c r="T151" s="235"/>
      <c r="U151" s="235"/>
      <c r="V151" s="667"/>
      <c r="W151" s="149"/>
      <c r="X151" s="571"/>
      <c r="Y151" s="1496"/>
      <c r="Z151" s="1341"/>
      <c r="AA151" s="1341"/>
      <c r="AB151" s="1341"/>
      <c r="AC151" s="1341"/>
      <c r="AD151" s="1341"/>
      <c r="AE151" s="1341"/>
      <c r="AF151" s="1341"/>
      <c r="AG151" s="1341"/>
      <c r="AH151" s="1341"/>
      <c r="AI151" s="1341"/>
      <c r="AJ151" s="1341"/>
      <c r="AK151" s="1341"/>
      <c r="AL151" s="1497"/>
      <c r="AM151" s="572"/>
      <c r="AN151" s="524"/>
      <c r="AO151" s="524"/>
      <c r="AP151" s="524"/>
      <c r="AQ151" s="524"/>
      <c r="AR151" s="524"/>
      <c r="AS151" s="524"/>
      <c r="AT151" s="524"/>
      <c r="AU151" s="524"/>
      <c r="AV151" s="524"/>
      <c r="AW151" s="524"/>
      <c r="AX151" s="524"/>
      <c r="AY151" s="524"/>
      <c r="AZ151" s="524"/>
      <c r="BA151" s="524"/>
      <c r="BB151" s="524"/>
      <c r="BC151" s="524"/>
      <c r="BD151" s="524"/>
    </row>
    <row r="152" spans="1:56" ht="11.85" customHeight="1">
      <c r="A152" s="476"/>
      <c r="B152" s="476"/>
      <c r="C152" s="476"/>
      <c r="D152" s="476"/>
      <c r="E152" s="761"/>
      <c r="F152" s="533"/>
      <c r="G152" s="524"/>
      <c r="H152" s="392"/>
      <c r="I152" s="1519" t="str">
        <f>Kalkulation_Eigenstrom!BG69</f>
        <v/>
      </c>
      <c r="J152" s="1519"/>
      <c r="K152" s="1579" t="str">
        <f>Kalkulation_Eigenstrom!BI69</f>
        <v/>
      </c>
      <c r="L152" s="1579"/>
      <c r="M152" s="1580" t="str">
        <f>Kalkulation_Eigenstrom!BK69</f>
        <v/>
      </c>
      <c r="N152" s="1580"/>
      <c r="O152" s="1517" t="str">
        <f>Kalkulation_Eigenstrom!BM69</f>
        <v/>
      </c>
      <c r="P152" s="1517"/>
      <c r="Q152" s="1517"/>
      <c r="R152" s="1591"/>
      <c r="S152" s="1591"/>
      <c r="T152" s="1503"/>
      <c r="U152" s="1503"/>
      <c r="V152" s="1504"/>
      <c r="W152" s="149"/>
      <c r="X152" s="571"/>
      <c r="Y152" s="1496" t="str">
        <f>IF(Kalkulation_Eigenstrom!$AN$13=1,"",IF(ZRB!G33=1,"",IF(ZRB!G5=1,"","Herstellungskosten von "&amp;ZRB!G57&amp;" €, einer Laufzeit der Anlage von "&amp;ZRB!G21&amp;" Jahren, einer unter-")))</f>
        <v/>
      </c>
      <c r="Z152" s="1341"/>
      <c r="AA152" s="1341"/>
      <c r="AB152" s="1341"/>
      <c r="AC152" s="1341"/>
      <c r="AD152" s="1341"/>
      <c r="AE152" s="1341"/>
      <c r="AF152" s="1341"/>
      <c r="AG152" s="1341"/>
      <c r="AH152" s="1341"/>
      <c r="AI152" s="1341"/>
      <c r="AJ152" s="1341"/>
      <c r="AK152" s="1341"/>
      <c r="AL152" s="1497"/>
      <c r="AM152" s="572"/>
      <c r="AN152" s="524"/>
      <c r="AO152" s="524"/>
      <c r="AP152" s="524"/>
      <c r="AQ152" s="524"/>
      <c r="AR152" s="524"/>
      <c r="AS152" s="524"/>
      <c r="AT152" s="524"/>
      <c r="AU152" s="524"/>
      <c r="AV152" s="524"/>
      <c r="AW152" s="524"/>
      <c r="AX152" s="524"/>
      <c r="AY152" s="524"/>
      <c r="AZ152" s="524"/>
      <c r="BA152" s="524"/>
      <c r="BB152" s="524"/>
      <c r="BC152" s="524"/>
      <c r="BD152" s="524"/>
    </row>
    <row r="153" spans="1:56" s="6" customFormat="1" ht="2.4500000000000002" customHeight="1">
      <c r="A153" s="476"/>
      <c r="B153" s="476"/>
      <c r="C153" s="476"/>
      <c r="D153" s="476"/>
      <c r="E153" s="761"/>
      <c r="F153" s="533"/>
      <c r="G153" s="524"/>
      <c r="H153" s="392"/>
      <c r="I153" s="672"/>
      <c r="J153" s="672"/>
      <c r="K153" s="671"/>
      <c r="L153" s="671"/>
      <c r="M153" s="673"/>
      <c r="N153" s="673"/>
      <c r="O153" s="674"/>
      <c r="P153" s="674"/>
      <c r="Q153" s="674"/>
      <c r="R153" s="1591"/>
      <c r="S153" s="1591"/>
      <c r="T153" s="665"/>
      <c r="U153" s="665"/>
      <c r="V153" s="666"/>
      <c r="W153" s="149"/>
      <c r="X153" s="571"/>
      <c r="Y153" s="1496"/>
      <c r="Z153" s="1341"/>
      <c r="AA153" s="1341"/>
      <c r="AB153" s="1341"/>
      <c r="AC153" s="1341"/>
      <c r="AD153" s="1341"/>
      <c r="AE153" s="1341"/>
      <c r="AF153" s="1341"/>
      <c r="AG153" s="1341"/>
      <c r="AH153" s="1341"/>
      <c r="AI153" s="1341"/>
      <c r="AJ153" s="1341"/>
      <c r="AK153" s="1341"/>
      <c r="AL153" s="1497"/>
      <c r="AM153" s="572"/>
      <c r="AN153" s="524"/>
      <c r="AO153" s="524"/>
      <c r="AP153" s="524"/>
      <c r="AQ153" s="524"/>
      <c r="AR153" s="524"/>
      <c r="AS153" s="524"/>
      <c r="AT153" s="524"/>
      <c r="AU153" s="524"/>
      <c r="AV153" s="524"/>
      <c r="AW153" s="524"/>
      <c r="AX153" s="524"/>
      <c r="AY153" s="524"/>
      <c r="AZ153" s="524"/>
      <c r="BA153" s="524"/>
      <c r="BB153" s="524"/>
      <c r="BC153" s="524"/>
      <c r="BD153" s="524"/>
    </row>
    <row r="154" spans="1:56" ht="11.85" customHeight="1">
      <c r="A154" s="476"/>
      <c r="B154" s="476"/>
      <c r="C154" s="476"/>
      <c r="D154" s="476"/>
      <c r="E154" s="761"/>
      <c r="F154" s="533"/>
      <c r="G154" s="524"/>
      <c r="H154" s="392"/>
      <c r="I154" s="1519" t="str">
        <f>Kalkulation_Eigenstrom!BG71</f>
        <v/>
      </c>
      <c r="J154" s="1519"/>
      <c r="K154" s="1579" t="str">
        <f>Kalkulation_Eigenstrom!BI71</f>
        <v/>
      </c>
      <c r="L154" s="1579"/>
      <c r="M154" s="1580" t="str">
        <f>Kalkulation_Eigenstrom!BK71</f>
        <v/>
      </c>
      <c r="N154" s="1580"/>
      <c r="O154" s="1517" t="str">
        <f>Kalkulation_Eigenstrom!BM71</f>
        <v/>
      </c>
      <c r="P154" s="1517"/>
      <c r="Q154" s="1517"/>
      <c r="R154" s="1591"/>
      <c r="S154" s="1591"/>
      <c r="T154" s="1503"/>
      <c r="U154" s="1503"/>
      <c r="V154" s="1504"/>
      <c r="W154" s="149"/>
      <c r="X154" s="571"/>
      <c r="Y154" s="1496" t="str">
        <f>IF(Kalkulation_Eigenstrom!$AN$13=1,"",IF(ZRB!G33=1,ZRB!B35,IF(ZRB!G5=1,"","stellten Verzinsung des Kapitals  von "&amp;ROUND(ZRB!F58,3)*100&amp;" %, Inbetriebnahme im "&amp;ZRB!G12&amp;", beläuft sich")))</f>
        <v/>
      </c>
      <c r="Z154" s="1341"/>
      <c r="AA154" s="1341"/>
      <c r="AB154" s="1341"/>
      <c r="AC154" s="1341"/>
      <c r="AD154" s="1341"/>
      <c r="AE154" s="1341"/>
      <c r="AF154" s="1341"/>
      <c r="AG154" s="1341"/>
      <c r="AH154" s="1341"/>
      <c r="AI154" s="1341"/>
      <c r="AJ154" s="1341"/>
      <c r="AK154" s="1341"/>
      <c r="AL154" s="1497"/>
      <c r="AM154" s="572"/>
      <c r="AN154" s="524"/>
      <c r="AO154" s="524"/>
      <c r="AP154" s="524"/>
      <c r="AQ154" s="524"/>
      <c r="AR154" s="524"/>
      <c r="AS154" s="524"/>
      <c r="AT154" s="524"/>
      <c r="AU154" s="524"/>
      <c r="AV154" s="524"/>
      <c r="AW154" s="524"/>
      <c r="AX154" s="524"/>
      <c r="AY154" s="524"/>
      <c r="AZ154" s="524"/>
      <c r="BA154" s="524"/>
      <c r="BB154" s="524"/>
      <c r="BC154" s="524"/>
      <c r="BD154" s="524"/>
    </row>
    <row r="155" spans="1:56" s="6" customFormat="1" ht="2.4500000000000002" customHeight="1">
      <c r="A155" s="476"/>
      <c r="B155" s="476"/>
      <c r="C155" s="476"/>
      <c r="D155" s="476"/>
      <c r="E155" s="761"/>
      <c r="F155" s="533"/>
      <c r="G155" s="524"/>
      <c r="H155" s="392"/>
      <c r="I155" s="675"/>
      <c r="J155" s="675"/>
      <c r="K155" s="675"/>
      <c r="L155" s="675"/>
      <c r="M155" s="675"/>
      <c r="N155" s="675"/>
      <c r="O155" s="675"/>
      <c r="P155" s="675"/>
      <c r="Q155" s="675"/>
      <c r="R155" s="1591"/>
      <c r="S155" s="1591"/>
      <c r="T155" s="235"/>
      <c r="U155" s="235"/>
      <c r="V155" s="667"/>
      <c r="W155" s="149"/>
      <c r="X155" s="571"/>
      <c r="Y155" s="1496"/>
      <c r="Z155" s="1341"/>
      <c r="AA155" s="1341"/>
      <c r="AB155" s="1341"/>
      <c r="AC155" s="1341"/>
      <c r="AD155" s="1341"/>
      <c r="AE155" s="1341"/>
      <c r="AF155" s="1341"/>
      <c r="AG155" s="1341"/>
      <c r="AH155" s="1341"/>
      <c r="AI155" s="1341"/>
      <c r="AJ155" s="1341"/>
      <c r="AK155" s="1341"/>
      <c r="AL155" s="1497"/>
      <c r="AM155" s="572"/>
      <c r="AN155" s="524"/>
      <c r="AO155" s="524"/>
      <c r="AP155" s="524"/>
      <c r="AQ155" s="524"/>
      <c r="AR155" s="524"/>
      <c r="AS155" s="524"/>
      <c r="AT155" s="524"/>
      <c r="AU155" s="524"/>
      <c r="AV155" s="524"/>
      <c r="AW155" s="524"/>
      <c r="AX155" s="524"/>
      <c r="AY155" s="524"/>
      <c r="AZ155" s="524"/>
      <c r="BA155" s="524"/>
      <c r="BB155" s="524"/>
      <c r="BC155" s="524"/>
      <c r="BD155" s="524"/>
    </row>
    <row r="156" spans="1:56" ht="12.2" customHeight="1">
      <c r="A156" s="476"/>
      <c r="B156" s="476"/>
      <c r="C156" s="476"/>
      <c r="D156" s="476"/>
      <c r="E156" s="761"/>
      <c r="F156" s="533"/>
      <c r="G156" s="524"/>
      <c r="H156" s="392"/>
      <c r="I156" s="1519" t="str">
        <f>Kalkulation_Eigenstrom!BG73</f>
        <v/>
      </c>
      <c r="J156" s="1519"/>
      <c r="K156" s="1579" t="str">
        <f>Kalkulation_Eigenstrom!BI73</f>
        <v/>
      </c>
      <c r="L156" s="1579"/>
      <c r="M156" s="1580" t="str">
        <f>Kalkulation_Eigenstrom!BK73</f>
        <v/>
      </c>
      <c r="N156" s="1580"/>
      <c r="O156" s="1517" t="str">
        <f>Kalkulation_Eigenstrom!BM73</f>
        <v/>
      </c>
      <c r="P156" s="1517"/>
      <c r="Q156" s="1517"/>
      <c r="R156" s="1591"/>
      <c r="S156" s="1591"/>
      <c r="T156" s="1503"/>
      <c r="U156" s="1503"/>
      <c r="V156" s="1504"/>
      <c r="W156" s="149"/>
      <c r="X156" s="571"/>
      <c r="Y156" s="1496" t="str">
        <f>IF(Kalkulation_Eigenstrom!$AN$13=1,"",IF(ZRB!G33=1,"",IF(ZRB!G5=1,"",IF(ZRB!G104&gt;=0,"der Vorteil bei "&amp;ROUND(ZRB!F30,2)&amp;" % Eigenstromnutzung (ca. "&amp;ROUND(ZRB!G30,0)&amp;" kWh/Jahr) auf durchschnittlich","der Nachteil bei "&amp;ROUND(ZRB!F30,2)&amp;" % Eigenstromnutzung (ca. "&amp;ROUND(ZRB!G30,0)&amp;" kWh/Jahr) auf durchschnittlich"))))</f>
        <v/>
      </c>
      <c r="Z156" s="1341"/>
      <c r="AA156" s="1341"/>
      <c r="AB156" s="1341"/>
      <c r="AC156" s="1341"/>
      <c r="AD156" s="1341"/>
      <c r="AE156" s="1341"/>
      <c r="AF156" s="1341"/>
      <c r="AG156" s="1341"/>
      <c r="AH156" s="1341"/>
      <c r="AI156" s="1341"/>
      <c r="AJ156" s="1341"/>
      <c r="AK156" s="1341"/>
      <c r="AL156" s="1497"/>
      <c r="AM156" s="572"/>
      <c r="AN156" s="524"/>
      <c r="AO156" s="524"/>
      <c r="AP156" s="524"/>
      <c r="AQ156" s="524"/>
      <c r="AR156" s="524"/>
      <c r="AS156" s="524"/>
      <c r="AT156" s="524"/>
      <c r="AU156" s="524"/>
      <c r="AV156" s="524"/>
      <c r="AW156" s="524"/>
      <c r="AX156" s="524"/>
      <c r="AY156" s="524"/>
      <c r="AZ156" s="524"/>
      <c r="BA156" s="524"/>
      <c r="BB156" s="524"/>
      <c r="BC156" s="524"/>
      <c r="BD156" s="524"/>
    </row>
    <row r="157" spans="1:56" ht="2.4500000000000002" customHeight="1">
      <c r="A157" s="476"/>
      <c r="B157" s="476"/>
      <c r="C157" s="476"/>
      <c r="D157" s="476"/>
      <c r="E157" s="761"/>
      <c r="F157" s="533"/>
      <c r="G157" s="524"/>
      <c r="H157" s="392"/>
      <c r="I157" s="237"/>
      <c r="J157" s="237"/>
      <c r="K157" s="237"/>
      <c r="L157" s="237"/>
      <c r="M157" s="237"/>
      <c r="N157" s="237"/>
      <c r="O157" s="237"/>
      <c r="P157" s="237"/>
      <c r="Q157" s="237"/>
      <c r="R157" s="237"/>
      <c r="S157" s="237"/>
      <c r="T157" s="237"/>
      <c r="U157" s="237"/>
      <c r="V157" s="264"/>
      <c r="W157" s="149"/>
      <c r="X157" s="571"/>
      <c r="Y157" s="1496"/>
      <c r="Z157" s="1341"/>
      <c r="AA157" s="1341"/>
      <c r="AB157" s="1341"/>
      <c r="AC157" s="1341"/>
      <c r="AD157" s="1341"/>
      <c r="AE157" s="1341"/>
      <c r="AF157" s="1341"/>
      <c r="AG157" s="1341"/>
      <c r="AH157" s="1341"/>
      <c r="AI157" s="1341"/>
      <c r="AJ157" s="1341"/>
      <c r="AK157" s="1341"/>
      <c r="AL157" s="1497"/>
      <c r="AM157" s="572"/>
      <c r="AN157" s="524"/>
      <c r="AO157" s="524"/>
      <c r="AP157" s="524"/>
      <c r="AQ157" s="524"/>
      <c r="AR157" s="524"/>
      <c r="AS157" s="524"/>
      <c r="AT157" s="524"/>
      <c r="AU157" s="524"/>
      <c r="AV157" s="524"/>
      <c r="AW157" s="524"/>
      <c r="AX157" s="524"/>
      <c r="AY157" s="524"/>
      <c r="AZ157" s="524"/>
      <c r="BA157" s="524"/>
      <c r="BB157" s="524"/>
      <c r="BC157" s="524"/>
      <c r="BD157" s="524"/>
    </row>
    <row r="158" spans="1:56" ht="12.2" customHeight="1">
      <c r="A158" s="476"/>
      <c r="B158" s="476"/>
      <c r="C158" s="476"/>
      <c r="D158" s="476"/>
      <c r="E158" s="761"/>
      <c r="F158" s="533"/>
      <c r="G158" s="524"/>
      <c r="H158" s="392"/>
      <c r="I158" s="1608" t="str">
        <f>Kalkulation_Eigenstrom!BF75</f>
        <v>keine Anlage erfasst !!</v>
      </c>
      <c r="J158" s="1609"/>
      <c r="K158" s="1609"/>
      <c r="L158" s="1609"/>
      <c r="M158" s="1609"/>
      <c r="N158" s="1609"/>
      <c r="O158" s="1609"/>
      <c r="P158" s="1609"/>
      <c r="Q158" s="1609"/>
      <c r="R158" s="1609"/>
      <c r="S158" s="1609"/>
      <c r="T158" s="1609"/>
      <c r="U158" s="1610"/>
      <c r="V158" s="663"/>
      <c r="W158" s="149"/>
      <c r="X158" s="571"/>
      <c r="Y158" s="1527" t="str">
        <f>IF(Kalkulation_Eigenstrom!$AN$13=1,"",IF(ZRB!G33=1,"",IF(ZRB!G5=1,"",""&amp;ROUND(ZRB!G103,3)*100&amp;" Cent/kWh")))</f>
        <v/>
      </c>
      <c r="Z158" s="1322"/>
      <c r="AA158" s="1322"/>
      <c r="AB158" s="1322"/>
      <c r="AC158" s="1341" t="str">
        <f>IF(Kalkulation_Eigenstrom!$AN$13=1,"",IF(ZRB!G33=1,"",IF(ZRB!G5=1,"","("&amp;ROUND(ZRB!G102,4)&amp;" abzgl. "&amp;ROUND(ZRB!G114,4)&amp;" €/kWh)")))</f>
        <v/>
      </c>
      <c r="AD158" s="1341"/>
      <c r="AE158" s="1341"/>
      <c r="AF158" s="1341"/>
      <c r="AG158" s="1341"/>
      <c r="AH158" s="1528" t="str">
        <f>IF(Kalkulation_Eigenstrom!$AN$13=1,"",IF(ZRB!G33=1,"",IF(ZRB!G5=1,"","bzw. rd. "&amp;ROUNDDOWN(ZRB!G104,-1)&amp;" €/Jahr")))</f>
        <v/>
      </c>
      <c r="AI158" s="1528"/>
      <c r="AJ158" s="1528"/>
      <c r="AK158" s="1528"/>
      <c r="AL158" s="1529"/>
      <c r="AM158" s="572"/>
      <c r="AN158" s="524"/>
      <c r="AO158" s="524"/>
      <c r="AP158" s="524"/>
      <c r="AQ158" s="524"/>
      <c r="AR158" s="524"/>
      <c r="AS158" s="524"/>
      <c r="AT158" s="524"/>
      <c r="AU158" s="524"/>
      <c r="AV158" s="524"/>
      <c r="AW158" s="524"/>
      <c r="AX158" s="524"/>
      <c r="AY158" s="524"/>
      <c r="AZ158" s="524"/>
      <c r="BA158" s="524"/>
      <c r="BB158" s="524"/>
      <c r="BC158" s="524"/>
      <c r="BD158" s="524"/>
    </row>
    <row r="159" spans="1:56" ht="2.4500000000000002" customHeight="1">
      <c r="A159" s="476"/>
      <c r="B159" s="476"/>
      <c r="C159" s="476"/>
      <c r="D159" s="476"/>
      <c r="E159" s="761"/>
      <c r="F159" s="533"/>
      <c r="G159" s="524"/>
      <c r="H159" s="392"/>
      <c r="I159" s="1611"/>
      <c r="J159" s="1612"/>
      <c r="K159" s="1612"/>
      <c r="L159" s="1612"/>
      <c r="M159" s="1612"/>
      <c r="N159" s="1612"/>
      <c r="O159" s="1612"/>
      <c r="P159" s="1612"/>
      <c r="Q159" s="1612"/>
      <c r="R159" s="1612"/>
      <c r="S159" s="1612"/>
      <c r="T159" s="1612"/>
      <c r="U159" s="1613"/>
      <c r="V159" s="663"/>
      <c r="W159" s="149"/>
      <c r="X159" s="571"/>
      <c r="Y159" s="1527"/>
      <c r="Z159" s="1322"/>
      <c r="AA159" s="1322"/>
      <c r="AB159" s="1322"/>
      <c r="AC159" s="1341"/>
      <c r="AD159" s="1341"/>
      <c r="AE159" s="1341"/>
      <c r="AF159" s="1341"/>
      <c r="AG159" s="1341"/>
      <c r="AH159" s="1528"/>
      <c r="AI159" s="1528"/>
      <c r="AJ159" s="1528"/>
      <c r="AK159" s="1528"/>
      <c r="AL159" s="1529"/>
      <c r="AM159" s="572"/>
      <c r="AN159" s="524"/>
      <c r="AO159" s="524"/>
      <c r="AP159" s="524"/>
      <c r="AQ159" s="524"/>
      <c r="AR159" s="524"/>
      <c r="AS159" s="524"/>
      <c r="AT159" s="524"/>
      <c r="AU159" s="524"/>
      <c r="AV159" s="524"/>
      <c r="AW159" s="524"/>
      <c r="AX159" s="524"/>
      <c r="AY159" s="524"/>
      <c r="AZ159" s="524"/>
      <c r="BA159" s="524"/>
      <c r="BB159" s="524"/>
      <c r="BC159" s="524"/>
      <c r="BD159" s="524"/>
    </row>
    <row r="160" spans="1:56" ht="12.75">
      <c r="A160" s="476"/>
      <c r="B160" s="476"/>
      <c r="C160" s="476"/>
      <c r="D160" s="476"/>
      <c r="E160" s="761"/>
      <c r="F160" s="533"/>
      <c r="G160" s="524"/>
      <c r="H160" s="392"/>
      <c r="I160" s="1611"/>
      <c r="J160" s="1612"/>
      <c r="K160" s="1612"/>
      <c r="L160" s="1612"/>
      <c r="M160" s="1612"/>
      <c r="N160" s="1612"/>
      <c r="O160" s="1612"/>
      <c r="P160" s="1612"/>
      <c r="Q160" s="1612"/>
      <c r="R160" s="1612"/>
      <c r="S160" s="1612"/>
      <c r="T160" s="1612"/>
      <c r="U160" s="1613"/>
      <c r="V160" s="663"/>
      <c r="W160" s="149"/>
      <c r="X160" s="571"/>
      <c r="Y160" s="1527"/>
      <c r="Z160" s="1322"/>
      <c r="AA160" s="1322"/>
      <c r="AB160" s="1322"/>
      <c r="AC160" s="1341"/>
      <c r="AD160" s="1341"/>
      <c r="AE160" s="1341"/>
      <c r="AF160" s="1341"/>
      <c r="AG160" s="1341"/>
      <c r="AH160" s="1528"/>
      <c r="AI160" s="1528"/>
      <c r="AJ160" s="1528"/>
      <c r="AK160" s="1528"/>
      <c r="AL160" s="1529"/>
      <c r="AM160" s="572"/>
      <c r="AN160" s="524"/>
      <c r="AO160" s="524"/>
      <c r="AP160" s="524"/>
      <c r="AQ160" s="524"/>
      <c r="AR160" s="524"/>
      <c r="AS160" s="524"/>
      <c r="AT160" s="524"/>
      <c r="AU160" s="524"/>
      <c r="AV160" s="524"/>
      <c r="AW160" s="524"/>
      <c r="AX160" s="524"/>
      <c r="AY160" s="524"/>
      <c r="AZ160" s="524"/>
      <c r="BA160" s="524"/>
      <c r="BB160" s="524"/>
      <c r="BC160" s="524"/>
      <c r="BD160" s="524"/>
    </row>
    <row r="161" spans="1:56" ht="2.4500000000000002" customHeight="1">
      <c r="A161" s="476"/>
      <c r="B161" s="476"/>
      <c r="C161" s="476"/>
      <c r="D161" s="476"/>
      <c r="E161" s="761"/>
      <c r="F161" s="533"/>
      <c r="G161" s="524"/>
      <c r="H161" s="392"/>
      <c r="I161" s="1611"/>
      <c r="J161" s="1612"/>
      <c r="K161" s="1612"/>
      <c r="L161" s="1612"/>
      <c r="M161" s="1612"/>
      <c r="N161" s="1612"/>
      <c r="O161" s="1612"/>
      <c r="P161" s="1612"/>
      <c r="Q161" s="1612"/>
      <c r="R161" s="1612"/>
      <c r="S161" s="1612"/>
      <c r="T161" s="1612"/>
      <c r="U161" s="1613"/>
      <c r="V161" s="663"/>
      <c r="W161" s="149"/>
      <c r="X161" s="571"/>
      <c r="Y161" s="792"/>
      <c r="Z161" s="793"/>
      <c r="AA161" s="793"/>
      <c r="AB161" s="793"/>
      <c r="AC161" s="794"/>
      <c r="AD161" s="794"/>
      <c r="AE161" s="794"/>
      <c r="AF161" s="794"/>
      <c r="AG161" s="794"/>
      <c r="AH161" s="795"/>
      <c r="AI161" s="793"/>
      <c r="AJ161" s="793"/>
      <c r="AK161" s="793"/>
      <c r="AL161" s="796"/>
      <c r="AM161" s="572"/>
      <c r="AN161" s="524"/>
      <c r="AO161" s="524"/>
      <c r="AP161" s="524"/>
      <c r="AQ161" s="524"/>
      <c r="AR161" s="524"/>
      <c r="AS161" s="524"/>
      <c r="AT161" s="524"/>
      <c r="AU161" s="524"/>
      <c r="AV161" s="524"/>
      <c r="AW161" s="524"/>
      <c r="AX161" s="524"/>
      <c r="AY161" s="524"/>
      <c r="AZ161" s="524"/>
      <c r="BA161" s="524"/>
      <c r="BB161" s="524"/>
      <c r="BC161" s="524"/>
      <c r="BD161" s="524"/>
    </row>
    <row r="162" spans="1:56" ht="12.75">
      <c r="A162" s="476"/>
      <c r="B162" s="476"/>
      <c r="C162" s="476"/>
      <c r="D162" s="476"/>
      <c r="E162" s="761"/>
      <c r="F162" s="533"/>
      <c r="G162" s="524"/>
      <c r="H162" s="392"/>
      <c r="I162" s="1614"/>
      <c r="J162" s="1615"/>
      <c r="K162" s="1615"/>
      <c r="L162" s="1615"/>
      <c r="M162" s="1615"/>
      <c r="N162" s="1615"/>
      <c r="O162" s="1615"/>
      <c r="P162" s="1615"/>
      <c r="Q162" s="1615"/>
      <c r="R162" s="1615"/>
      <c r="S162" s="1615"/>
      <c r="T162" s="1615"/>
      <c r="U162" s="1616"/>
      <c r="V162" s="663"/>
      <c r="W162" s="149"/>
      <c r="X162" s="571"/>
      <c r="Y162" s="770"/>
      <c r="Z162" s="770"/>
      <c r="AA162" s="770"/>
      <c r="AB162" s="770"/>
      <c r="AC162" s="770"/>
      <c r="AD162" s="770"/>
      <c r="AE162" s="770"/>
      <c r="AF162" s="770"/>
      <c r="AG162" s="770"/>
      <c r="AH162" s="770"/>
      <c r="AI162" s="770"/>
      <c r="AJ162" s="770"/>
      <c r="AK162" s="770"/>
      <c r="AL162" s="770"/>
      <c r="AM162" s="572"/>
      <c r="AN162" s="524"/>
      <c r="AO162" s="524"/>
      <c r="AP162" s="524"/>
      <c r="AQ162" s="524"/>
      <c r="AR162" s="524"/>
      <c r="AS162" s="524"/>
      <c r="AT162" s="524"/>
      <c r="AU162" s="524"/>
      <c r="AV162" s="524"/>
      <c r="AW162" s="524"/>
      <c r="AX162" s="524"/>
      <c r="AY162" s="524"/>
      <c r="AZ162" s="524"/>
      <c r="BA162" s="524"/>
      <c r="BB162" s="524"/>
      <c r="BC162" s="524"/>
      <c r="BD162" s="524"/>
    </row>
    <row r="163" spans="1:56" ht="2.4500000000000002" customHeight="1">
      <c r="A163" s="476"/>
      <c r="B163" s="476"/>
      <c r="C163" s="476"/>
      <c r="D163" s="476"/>
      <c r="E163" s="761"/>
      <c r="F163" s="533"/>
      <c r="G163" s="524"/>
      <c r="H163" s="691"/>
      <c r="I163" s="461"/>
      <c r="J163" s="461"/>
      <c r="K163" s="461"/>
      <c r="L163" s="461"/>
      <c r="M163" s="461"/>
      <c r="N163" s="461"/>
      <c r="O163" s="461"/>
      <c r="P163" s="461"/>
      <c r="Q163" s="461"/>
      <c r="R163" s="461"/>
      <c r="S163" s="461"/>
      <c r="T163" s="461"/>
      <c r="U163" s="461"/>
      <c r="V163" s="692"/>
      <c r="W163" s="149"/>
      <c r="X163" s="767"/>
      <c r="Y163" s="768"/>
      <c r="Z163" s="768"/>
      <c r="AA163" s="768"/>
      <c r="AB163" s="768"/>
      <c r="AC163" s="768"/>
      <c r="AD163" s="768"/>
      <c r="AE163" s="768"/>
      <c r="AF163" s="768"/>
      <c r="AG163" s="768"/>
      <c r="AH163" s="768"/>
      <c r="AI163" s="768"/>
      <c r="AJ163" s="768"/>
      <c r="AK163" s="768"/>
      <c r="AL163" s="768"/>
      <c r="AM163" s="769"/>
      <c r="AN163" s="524"/>
      <c r="AO163" s="524"/>
      <c r="AP163" s="524"/>
      <c r="AQ163" s="524"/>
      <c r="AR163" s="524"/>
      <c r="AS163" s="524"/>
      <c r="AT163" s="524"/>
      <c r="AU163" s="524"/>
      <c r="AV163" s="524"/>
      <c r="AW163" s="524"/>
      <c r="AX163" s="524"/>
      <c r="AY163" s="524"/>
      <c r="AZ163" s="524"/>
      <c r="BA163" s="524"/>
      <c r="BB163" s="524"/>
      <c r="BC163" s="524"/>
      <c r="BD163" s="524"/>
    </row>
    <row r="164" spans="1:56" ht="12.75">
      <c r="A164" s="524"/>
      <c r="B164" s="524"/>
      <c r="C164" s="524"/>
      <c r="D164" s="524"/>
      <c r="E164" s="761"/>
      <c r="F164" s="533"/>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C164" s="524"/>
      <c r="AD164" s="524"/>
      <c r="AE164" s="524"/>
      <c r="AF164" s="524"/>
      <c r="AG164" s="524"/>
      <c r="AH164" s="524"/>
      <c r="AI164" s="524"/>
      <c r="AJ164" s="524"/>
      <c r="AK164" s="524"/>
      <c r="AL164" s="524"/>
      <c r="AM164" s="524"/>
      <c r="AN164" s="524"/>
      <c r="AO164" s="524"/>
      <c r="AP164" s="524"/>
      <c r="AQ164" s="524"/>
      <c r="AR164" s="524"/>
      <c r="AS164" s="524"/>
      <c r="AT164" s="524"/>
      <c r="AU164" s="524"/>
      <c r="AV164" s="524"/>
      <c r="AW164" s="524"/>
      <c r="AX164" s="524"/>
      <c r="AY164" s="524"/>
      <c r="AZ164" s="524"/>
      <c r="BA164" s="524"/>
      <c r="BB164" s="524"/>
      <c r="BC164" s="524"/>
      <c r="BD164" s="524"/>
    </row>
    <row r="165" spans="1:56" ht="12.75">
      <c r="A165" s="524"/>
      <c r="B165" s="524"/>
      <c r="C165" s="524"/>
      <c r="D165" s="524"/>
      <c r="E165" s="761"/>
      <c r="F165" s="533"/>
      <c r="G165" s="524"/>
      <c r="H165" s="524"/>
      <c r="I165" s="524"/>
      <c r="J165" s="524"/>
      <c r="K165" s="524"/>
      <c r="L165" s="524"/>
      <c r="M165" s="524"/>
      <c r="N165" s="524"/>
      <c r="O165" s="524"/>
      <c r="P165" s="524"/>
      <c r="Q165" s="524"/>
      <c r="R165" s="524"/>
      <c r="S165" s="524"/>
      <c r="T165" s="524"/>
      <c r="U165" s="524"/>
      <c r="V165" s="524"/>
      <c r="W165" s="524"/>
      <c r="X165" s="524"/>
      <c r="Y165" s="524"/>
      <c r="Z165" s="524"/>
      <c r="AA165" s="524"/>
      <c r="AB165" s="524"/>
      <c r="AC165" s="524"/>
      <c r="AD165" s="524"/>
      <c r="AE165" s="524"/>
      <c r="AF165" s="524"/>
      <c r="AG165" s="524"/>
      <c r="AH165" s="524"/>
      <c r="AI165" s="524"/>
      <c r="AJ165" s="524"/>
      <c r="AK165" s="524"/>
      <c r="AL165" s="524"/>
      <c r="AM165" s="524"/>
      <c r="AN165" s="524"/>
      <c r="AO165" s="524"/>
      <c r="AP165" s="524"/>
      <c r="AQ165" s="524"/>
      <c r="AR165" s="524"/>
      <c r="AS165" s="524"/>
      <c r="AT165" s="524"/>
      <c r="AU165" s="524"/>
      <c r="AV165" s="524"/>
      <c r="AW165" s="524"/>
      <c r="AX165" s="524"/>
      <c r="AY165" s="524"/>
      <c r="AZ165" s="524"/>
      <c r="BA165" s="524"/>
      <c r="BB165" s="524"/>
      <c r="BC165" s="524"/>
      <c r="BD165" s="524"/>
    </row>
    <row r="166" spans="1:56" ht="12.75">
      <c r="A166" s="524"/>
      <c r="B166" s="524"/>
      <c r="C166" s="524"/>
      <c r="D166" s="524"/>
      <c r="E166" s="761"/>
      <c r="F166" s="533"/>
      <c r="G166" s="524"/>
      <c r="H166" s="524"/>
      <c r="I166" s="524"/>
      <c r="J166" s="524"/>
      <c r="K166" s="524"/>
      <c r="L166" s="524"/>
      <c r="M166" s="524"/>
      <c r="N166" s="524"/>
      <c r="O166" s="524"/>
      <c r="P166" s="524"/>
      <c r="Q166" s="524"/>
      <c r="R166" s="524"/>
      <c r="S166" s="524"/>
      <c r="T166" s="524"/>
      <c r="U166" s="524"/>
      <c r="V166" s="524"/>
      <c r="W166" s="524"/>
      <c r="X166" s="524"/>
      <c r="Y166" s="524"/>
      <c r="Z166" s="524"/>
      <c r="AA166" s="524"/>
      <c r="AB166" s="524"/>
      <c r="AC166" s="524"/>
      <c r="AD166" s="524"/>
      <c r="AE166" s="524"/>
      <c r="AF166" s="524"/>
      <c r="AG166" s="524"/>
      <c r="AH166" s="524"/>
      <c r="AI166" s="524"/>
      <c r="AJ166" s="524"/>
      <c r="AK166" s="524"/>
      <c r="AL166" s="524"/>
      <c r="AM166" s="524"/>
      <c r="AN166" s="524"/>
      <c r="AO166" s="524"/>
      <c r="AP166" s="524"/>
      <c r="AQ166" s="524"/>
      <c r="AR166" s="524"/>
      <c r="AS166" s="524"/>
      <c r="AT166" s="524"/>
      <c r="AU166" s="524"/>
      <c r="AV166" s="524"/>
      <c r="AW166" s="524"/>
      <c r="AX166" s="524"/>
      <c r="AY166" s="524"/>
      <c r="AZ166" s="524"/>
      <c r="BA166" s="524"/>
      <c r="BB166" s="524"/>
      <c r="BC166" s="524"/>
      <c r="BD166" s="524"/>
    </row>
    <row r="167" spans="1:56" ht="12.75">
      <c r="A167" s="524"/>
      <c r="B167" s="524"/>
      <c r="C167" s="524"/>
      <c r="D167" s="524"/>
      <c r="E167" s="761"/>
      <c r="F167" s="533"/>
      <c r="G167" s="524"/>
      <c r="H167" s="524"/>
      <c r="I167" s="524"/>
      <c r="J167" s="524"/>
      <c r="K167" s="524"/>
      <c r="L167" s="524"/>
      <c r="M167" s="524"/>
      <c r="N167" s="524"/>
      <c r="O167" s="524"/>
      <c r="P167" s="524"/>
      <c r="Q167" s="524"/>
      <c r="R167" s="524"/>
      <c r="S167" s="524"/>
      <c r="T167" s="524"/>
      <c r="U167" s="524"/>
      <c r="V167" s="524"/>
      <c r="W167" s="524"/>
      <c r="X167" s="524"/>
      <c r="Y167" s="524"/>
      <c r="Z167" s="524"/>
      <c r="AA167" s="524"/>
      <c r="AB167" s="524"/>
      <c r="AC167" s="524"/>
      <c r="AD167" s="524"/>
      <c r="AE167" s="524"/>
      <c r="AF167" s="524"/>
      <c r="AG167" s="524"/>
      <c r="AH167" s="524"/>
      <c r="AI167" s="524"/>
      <c r="AJ167" s="524"/>
      <c r="AK167" s="524"/>
      <c r="AL167" s="524"/>
      <c r="AM167" s="524"/>
      <c r="AN167" s="524"/>
      <c r="AO167" s="524"/>
      <c r="AP167" s="524"/>
      <c r="AQ167" s="524"/>
      <c r="AR167" s="524"/>
      <c r="AS167" s="524"/>
      <c r="AT167" s="524"/>
      <c r="AU167" s="524"/>
      <c r="AV167" s="524"/>
      <c r="AW167" s="524"/>
      <c r="AX167" s="524"/>
      <c r="AY167" s="524"/>
      <c r="AZ167" s="524"/>
      <c r="BA167" s="524"/>
      <c r="BB167" s="524"/>
      <c r="BC167" s="524"/>
      <c r="BD167" s="524"/>
    </row>
  </sheetData>
  <sheetProtection algorithmName="SHA-512" hashValue="Y65s4zJ/+M521kbh5sIsFvZlQgboXoAJQUr6Htbxt6yaPBZ8YwII2k9DC9SFPCtPSc2CeFaVG2+t7R/gHe9+lg==" saltValue="GcM2kDuaarM6AEGrHXCyYw==" spinCount="100000" sheet="1"/>
  <mergeCells count="226">
    <mergeCell ref="H5:AE7"/>
    <mergeCell ref="Q42:V42"/>
    <mergeCell ref="Q44:V44"/>
    <mergeCell ref="Q46:V46"/>
    <mergeCell ref="Q50:V50"/>
    <mergeCell ref="AJ48:AJ50"/>
    <mergeCell ref="AK48:AK50"/>
    <mergeCell ref="Q23:U24"/>
    <mergeCell ref="I19:P20"/>
    <mergeCell ref="I21:P22"/>
    <mergeCell ref="AC16:AH18"/>
    <mergeCell ref="AD22:AH22"/>
    <mergeCell ref="X16:AB18"/>
    <mergeCell ref="AI16:AM18"/>
    <mergeCell ref="AD20:AH20"/>
    <mergeCell ref="X46:Z49"/>
    <mergeCell ref="AA48:AA50"/>
    <mergeCell ref="X34:Z36"/>
    <mergeCell ref="AG48:AG50"/>
    <mergeCell ref="AB48:AB50"/>
    <mergeCell ref="AC48:AC50"/>
    <mergeCell ref="AH5:AM7"/>
    <mergeCell ref="H28:M30"/>
    <mergeCell ref="N28:Q30"/>
    <mergeCell ref="T156:V156"/>
    <mergeCell ref="I154:J154"/>
    <mergeCell ref="B17:C20"/>
    <mergeCell ref="B21:C21"/>
    <mergeCell ref="B25:C28"/>
    <mergeCell ref="B29:C29"/>
    <mergeCell ref="B33:C43"/>
    <mergeCell ref="B47:C57"/>
    <mergeCell ref="Z60:AM61"/>
    <mergeCell ref="Z62:AM63"/>
    <mergeCell ref="AL48:AL50"/>
    <mergeCell ref="O156:Q156"/>
    <mergeCell ref="T154:V154"/>
    <mergeCell ref="I148:J148"/>
    <mergeCell ref="K148:L148"/>
    <mergeCell ref="K154:L154"/>
    <mergeCell ref="I152:J152"/>
    <mergeCell ref="K152:L152"/>
    <mergeCell ref="M152:N152"/>
    <mergeCell ref="O152:Q152"/>
    <mergeCell ref="R64:S64"/>
    <mergeCell ref="R70:S70"/>
    <mergeCell ref="I141:Q142"/>
    <mergeCell ref="Y106:AL109"/>
    <mergeCell ref="I158:U162"/>
    <mergeCell ref="R142:R156"/>
    <mergeCell ref="S142:S156"/>
    <mergeCell ref="R38:V40"/>
    <mergeCell ref="O38:Q40"/>
    <mergeCell ref="M148:N148"/>
    <mergeCell ref="K156:L156"/>
    <mergeCell ref="M156:N156"/>
    <mergeCell ref="I146:J146"/>
    <mergeCell ref="K146:L146"/>
    <mergeCell ref="M146:N146"/>
    <mergeCell ref="O146:Q146"/>
    <mergeCell ref="T146:V146"/>
    <mergeCell ref="M154:N154"/>
    <mergeCell ref="O154:Q154"/>
    <mergeCell ref="O148:Q148"/>
    <mergeCell ref="T148:V148"/>
    <mergeCell ref="I156:J156"/>
    <mergeCell ref="T150:V150"/>
    <mergeCell ref="I149:Q150"/>
    <mergeCell ref="T152:V152"/>
    <mergeCell ref="M144:N144"/>
    <mergeCell ref="O144:Q144"/>
    <mergeCell ref="T144:V144"/>
    <mergeCell ref="AJ139:AL140"/>
    <mergeCell ref="I144:J144"/>
    <mergeCell ref="K144:L144"/>
    <mergeCell ref="R120:R135"/>
    <mergeCell ref="T128:V128"/>
    <mergeCell ref="M130:N130"/>
    <mergeCell ref="M122:N122"/>
    <mergeCell ref="T122:V122"/>
    <mergeCell ref="Y92:AH94"/>
    <mergeCell ref="AI92:AL94"/>
    <mergeCell ref="K110:P112"/>
    <mergeCell ref="S131:S135"/>
    <mergeCell ref="T142:V142"/>
    <mergeCell ref="I134:L134"/>
    <mergeCell ref="I130:J130"/>
    <mergeCell ref="T124:V124"/>
    <mergeCell ref="T136:V138"/>
    <mergeCell ref="I136:Q138"/>
    <mergeCell ref="AJ143:AL147"/>
    <mergeCell ref="Q110:V112"/>
    <mergeCell ref="T114:V116"/>
    <mergeCell ref="K130:L130"/>
    <mergeCell ref="S120:S129"/>
    <mergeCell ref="M134:N134"/>
    <mergeCell ref="O134:Q134"/>
    <mergeCell ref="O128:Q128"/>
    <mergeCell ref="I63:Q64"/>
    <mergeCell ref="T131:V132"/>
    <mergeCell ref="K128:L128"/>
    <mergeCell ref="M128:N128"/>
    <mergeCell ref="O130:Q130"/>
    <mergeCell ref="T130:V130"/>
    <mergeCell ref="I131:Q132"/>
    <mergeCell ref="Q106:V106"/>
    <mergeCell ref="B2:C7"/>
    <mergeCell ref="A9:D9"/>
    <mergeCell ref="B13:C13"/>
    <mergeCell ref="B14:C14"/>
    <mergeCell ref="I93:Q94"/>
    <mergeCell ref="B65:C65"/>
    <mergeCell ref="Q52:V52"/>
    <mergeCell ref="H16:P18"/>
    <mergeCell ref="Q60:V62"/>
    <mergeCell ref="T76:V76"/>
    <mergeCell ref="P34:Q34"/>
    <mergeCell ref="R31:V32"/>
    <mergeCell ref="R33:V34"/>
    <mergeCell ref="R74:S74"/>
    <mergeCell ref="I23:P24"/>
    <mergeCell ref="Q19:U20"/>
    <mergeCell ref="I33:N34"/>
    <mergeCell ref="T82:V82"/>
    <mergeCell ref="Q90:V90"/>
    <mergeCell ref="Q88:V88"/>
    <mergeCell ref="Q54:V54"/>
    <mergeCell ref="Q56:V56"/>
    <mergeCell ref="Q16:V18"/>
    <mergeCell ref="H38:M40"/>
    <mergeCell ref="B61:C64"/>
    <mergeCell ref="Q92:V92"/>
    <mergeCell ref="I126:J126"/>
    <mergeCell ref="K126:L126"/>
    <mergeCell ref="M126:N126"/>
    <mergeCell ref="T80:V80"/>
    <mergeCell ref="T72:V72"/>
    <mergeCell ref="R80:S80"/>
    <mergeCell ref="I85:Q86"/>
    <mergeCell ref="H60:M62"/>
    <mergeCell ref="Q108:V108"/>
    <mergeCell ref="O122:Q122"/>
    <mergeCell ref="R78:S78"/>
    <mergeCell ref="T78:V78"/>
    <mergeCell ref="T66:V66"/>
    <mergeCell ref="T119:V120"/>
    <mergeCell ref="T70:V70"/>
    <mergeCell ref="I122:J122"/>
    <mergeCell ref="K122:L122"/>
    <mergeCell ref="I124:J124"/>
    <mergeCell ref="K124:L124"/>
    <mergeCell ref="M124:N124"/>
    <mergeCell ref="O124:Q124"/>
    <mergeCell ref="R66:S66"/>
    <mergeCell ref="A70:D70"/>
    <mergeCell ref="Y158:AB160"/>
    <mergeCell ref="AH158:AL160"/>
    <mergeCell ref="AC158:AG160"/>
    <mergeCell ref="Y143:AG146"/>
    <mergeCell ref="Y150:AL151"/>
    <mergeCell ref="Y152:AL153"/>
    <mergeCell ref="AI101:AL104"/>
    <mergeCell ref="AI78:AI80"/>
    <mergeCell ref="AI86:AI88"/>
    <mergeCell ref="Y95:AH100"/>
    <mergeCell ref="AJ86:AL88"/>
    <mergeCell ref="AJ82:AL84"/>
    <mergeCell ref="AI97:AL100"/>
    <mergeCell ref="Y101:AH104"/>
    <mergeCell ref="AJ78:AL80"/>
    <mergeCell ref="Y82:AH84"/>
    <mergeCell ref="Y86:AH88"/>
    <mergeCell ref="Y78:AH80"/>
    <mergeCell ref="Y139:AF140"/>
    <mergeCell ref="Y141:AE142"/>
    <mergeCell ref="AF141:AI142"/>
    <mergeCell ref="AB132:AK134"/>
    <mergeCell ref="AD126:AK127"/>
    <mergeCell ref="Q21:U22"/>
    <mergeCell ref="Y19:AC20"/>
    <mergeCell ref="Y21:AC22"/>
    <mergeCell ref="R28:V30"/>
    <mergeCell ref="T68:V68"/>
    <mergeCell ref="X70:AM72"/>
    <mergeCell ref="R72:S72"/>
    <mergeCell ref="R68:S68"/>
    <mergeCell ref="AF48:AF50"/>
    <mergeCell ref="AI19:AM20"/>
    <mergeCell ref="AI21:AM22"/>
    <mergeCell ref="AH48:AH50"/>
    <mergeCell ref="AI48:AI50"/>
    <mergeCell ref="Y26:AM27"/>
    <mergeCell ref="AB28:AK28"/>
    <mergeCell ref="X30:Z32"/>
    <mergeCell ref="AD48:AD50"/>
    <mergeCell ref="AE48:AE50"/>
    <mergeCell ref="X28:AA28"/>
    <mergeCell ref="X38:Z40"/>
    <mergeCell ref="X42:Z44"/>
    <mergeCell ref="Q48:V48"/>
    <mergeCell ref="Z64:AM65"/>
    <mergeCell ref="Z66:AM67"/>
    <mergeCell ref="Y154:AL155"/>
    <mergeCell ref="Y156:AL157"/>
    <mergeCell ref="AD128:AK128"/>
    <mergeCell ref="Y136:AG138"/>
    <mergeCell ref="AJ74:AL76"/>
    <mergeCell ref="Y74:AH76"/>
    <mergeCell ref="I31:O32"/>
    <mergeCell ref="P32:Q32"/>
    <mergeCell ref="T74:V74"/>
    <mergeCell ref="R76:S76"/>
    <mergeCell ref="AJ141:AL142"/>
    <mergeCell ref="AI95:AL96"/>
    <mergeCell ref="Q104:V104"/>
    <mergeCell ref="I114:Q116"/>
    <mergeCell ref="I101:P102"/>
    <mergeCell ref="O126:Q126"/>
    <mergeCell ref="T126:V126"/>
    <mergeCell ref="I119:Q120"/>
    <mergeCell ref="Q96:V96"/>
    <mergeCell ref="Q98:V98"/>
    <mergeCell ref="Q100:V100"/>
    <mergeCell ref="T134:V134"/>
    <mergeCell ref="I128:J128"/>
    <mergeCell ref="H110:J112"/>
  </mergeCells>
  <conditionalFormatting sqref="B13">
    <cfRule type="expression" dxfId="93" priority="9" stopIfTrue="1">
      <formula>F13=1</formula>
    </cfRule>
  </conditionalFormatting>
  <conditionalFormatting sqref="AA54">
    <cfRule type="expression" dxfId="92" priority="61" stopIfTrue="1">
      <formula>$AB$32&gt;999.9</formula>
    </cfRule>
  </conditionalFormatting>
  <conditionalFormatting sqref="AB54">
    <cfRule type="expression" dxfId="91" priority="60" stopIfTrue="1">
      <formula>$AC$32&gt;999.9</formula>
    </cfRule>
  </conditionalFormatting>
  <conditionalFormatting sqref="AC54">
    <cfRule type="expression" dxfId="90" priority="59" stopIfTrue="1">
      <formula>$AD$32&gt;999.9</formula>
    </cfRule>
  </conditionalFormatting>
  <conditionalFormatting sqref="AD54">
    <cfRule type="expression" dxfId="89" priority="58" stopIfTrue="1">
      <formula>$AE$32&gt;999.9</formula>
    </cfRule>
  </conditionalFormatting>
  <conditionalFormatting sqref="AE54">
    <cfRule type="expression" dxfId="88" priority="57" stopIfTrue="1">
      <formula>$AF$32&gt;999.9</formula>
    </cfRule>
  </conditionalFormatting>
  <conditionalFormatting sqref="AF54">
    <cfRule type="expression" dxfId="87" priority="56" stopIfTrue="1">
      <formula>$AG$32&gt;999.9</formula>
    </cfRule>
  </conditionalFormatting>
  <conditionalFormatting sqref="AG54">
    <cfRule type="expression" dxfId="86" priority="55" stopIfTrue="1">
      <formula>$AH$32&gt;999.9</formula>
    </cfRule>
  </conditionalFormatting>
  <conditionalFormatting sqref="AH54">
    <cfRule type="expression" dxfId="85" priority="54" stopIfTrue="1">
      <formula>$AI$32&gt;999.9</formula>
    </cfRule>
  </conditionalFormatting>
  <conditionalFormatting sqref="AI54">
    <cfRule type="expression" dxfId="84" priority="53" stopIfTrue="1">
      <formula>$AJ$32&gt;999.9</formula>
    </cfRule>
  </conditionalFormatting>
  <conditionalFormatting sqref="AJ54">
    <cfRule type="expression" dxfId="83" priority="52" stopIfTrue="1">
      <formula>$AK$32&gt;999.9</formula>
    </cfRule>
  </conditionalFormatting>
  <conditionalFormatting sqref="AK54">
    <cfRule type="expression" dxfId="82" priority="51" stopIfTrue="1">
      <formula>$AL$32&gt;999.9</formula>
    </cfRule>
  </conditionalFormatting>
  <conditionalFormatting sqref="AL54">
    <cfRule type="expression" dxfId="81" priority="50" stopIfTrue="1">
      <formula>$AM$32&gt;999.9</formula>
    </cfRule>
  </conditionalFormatting>
  <conditionalFormatting sqref="AA52">
    <cfRule type="expression" dxfId="80" priority="49" stopIfTrue="1">
      <formula>$AB$30&gt;999.9</formula>
    </cfRule>
  </conditionalFormatting>
  <conditionalFormatting sqref="AB52">
    <cfRule type="expression" dxfId="79" priority="48" stopIfTrue="1">
      <formula>$AC$30&gt;999.9</formula>
    </cfRule>
  </conditionalFormatting>
  <conditionalFormatting sqref="AC52">
    <cfRule type="expression" dxfId="78" priority="47" stopIfTrue="1">
      <formula>$AD$30&gt;999.9</formula>
    </cfRule>
  </conditionalFormatting>
  <conditionalFormatting sqref="AD52">
    <cfRule type="expression" dxfId="77" priority="46" stopIfTrue="1">
      <formula>$AE$30&gt;999.9</formula>
    </cfRule>
  </conditionalFormatting>
  <conditionalFormatting sqref="AE52">
    <cfRule type="expression" dxfId="76" priority="45" stopIfTrue="1">
      <formula>$AF$30&gt;999.9</formula>
    </cfRule>
  </conditionalFormatting>
  <conditionalFormatting sqref="AF52">
    <cfRule type="expression" dxfId="75" priority="44" stopIfTrue="1">
      <formula>$AG$30&gt;999.9</formula>
    </cfRule>
  </conditionalFormatting>
  <conditionalFormatting sqref="AG52">
    <cfRule type="expression" dxfId="74" priority="43" stopIfTrue="1">
      <formula>$AH$30&gt;999.9</formula>
    </cfRule>
  </conditionalFormatting>
  <conditionalFormatting sqref="AH52">
    <cfRule type="expression" dxfId="73" priority="42" stopIfTrue="1">
      <formula>$AI$30&gt;999.9</formula>
    </cfRule>
  </conditionalFormatting>
  <conditionalFormatting sqref="AI52">
    <cfRule type="expression" dxfId="72" priority="41" stopIfTrue="1">
      <formula>$AJ$30&gt;999.9</formula>
    </cfRule>
  </conditionalFormatting>
  <conditionalFormatting sqref="AJ52">
    <cfRule type="expression" dxfId="71" priority="40" stopIfTrue="1">
      <formula>$AK$30&gt;999.9</formula>
    </cfRule>
  </conditionalFormatting>
  <conditionalFormatting sqref="AK52">
    <cfRule type="expression" dxfId="70" priority="39" stopIfTrue="1">
      <formula>$AL$30&gt;999.9</formula>
    </cfRule>
  </conditionalFormatting>
  <conditionalFormatting sqref="AL52">
    <cfRule type="expression" dxfId="69" priority="38" stopIfTrue="1">
      <formula>$AM$30&gt;999.9</formula>
    </cfRule>
  </conditionalFormatting>
  <conditionalFormatting sqref="AA56">
    <cfRule type="expression" dxfId="68" priority="37" stopIfTrue="1">
      <formula>$AB$34&gt;999.9</formula>
    </cfRule>
  </conditionalFormatting>
  <conditionalFormatting sqref="AB56">
    <cfRule type="expression" dxfId="67" priority="36" stopIfTrue="1">
      <formula>$AC$34&gt;999.9</formula>
    </cfRule>
  </conditionalFormatting>
  <conditionalFormatting sqref="AC56">
    <cfRule type="expression" dxfId="66" priority="35" stopIfTrue="1">
      <formula>$AD$34&gt;999.9</formula>
    </cfRule>
  </conditionalFormatting>
  <conditionalFormatting sqref="AD56">
    <cfRule type="expression" dxfId="65" priority="34" stopIfTrue="1">
      <formula>$AE$34&gt;999.9</formula>
    </cfRule>
  </conditionalFormatting>
  <conditionalFormatting sqref="AE56">
    <cfRule type="expression" dxfId="64" priority="33" stopIfTrue="1">
      <formula>$AF$34&gt;999.9</formula>
    </cfRule>
  </conditionalFormatting>
  <conditionalFormatting sqref="AF56">
    <cfRule type="expression" dxfId="63" priority="32" stopIfTrue="1">
      <formula>$AG$34&gt;999.9</formula>
    </cfRule>
  </conditionalFormatting>
  <conditionalFormatting sqref="AG56">
    <cfRule type="expression" dxfId="62" priority="31" stopIfTrue="1">
      <formula>$AH$34&gt;999.9</formula>
    </cfRule>
  </conditionalFormatting>
  <conditionalFormatting sqref="AH56">
    <cfRule type="expression" dxfId="61" priority="30" stopIfTrue="1">
      <formula>$AI$34&gt;999.9</formula>
    </cfRule>
  </conditionalFormatting>
  <conditionalFormatting sqref="AI56">
    <cfRule type="expression" dxfId="60" priority="29" stopIfTrue="1">
      <formula>$AJ$34&gt;999.9</formula>
    </cfRule>
  </conditionalFormatting>
  <conditionalFormatting sqref="AJ56">
    <cfRule type="expression" dxfId="59" priority="28" stopIfTrue="1">
      <formula>$AK$34&gt;999.9</formula>
    </cfRule>
  </conditionalFormatting>
  <conditionalFormatting sqref="AK56">
    <cfRule type="expression" dxfId="58" priority="27" stopIfTrue="1">
      <formula>$AL$34&gt;999.9</formula>
    </cfRule>
  </conditionalFormatting>
  <conditionalFormatting sqref="AL56">
    <cfRule type="expression" dxfId="57" priority="26" stopIfTrue="1">
      <formula>$AM$34&gt;999.9</formula>
    </cfRule>
  </conditionalFormatting>
  <conditionalFormatting sqref="AC110:AC128">
    <cfRule type="expression" dxfId="56" priority="18" stopIfTrue="1">
      <formula>AND(#REF!/100&lt;#REF!,#REF!&gt;0.1)</formula>
    </cfRule>
  </conditionalFormatting>
  <conditionalFormatting sqref="AB110:AB128">
    <cfRule type="expression" dxfId="55" priority="251" stopIfTrue="1">
      <formula>$F$28=1</formula>
    </cfRule>
  </conditionalFormatting>
  <conditionalFormatting sqref="B14">
    <cfRule type="expression" dxfId="54" priority="253" stopIfTrue="1">
      <formula>F13=1</formula>
    </cfRule>
  </conditionalFormatting>
  <conditionalFormatting sqref="B17 B21">
    <cfRule type="expression" dxfId="53" priority="3" stopIfTrue="1">
      <formula>$F$18=1</formula>
    </cfRule>
  </conditionalFormatting>
  <conditionalFormatting sqref="B25:B28">
    <cfRule type="expression" dxfId="52" priority="2" stopIfTrue="1">
      <formula>F13=1</formula>
    </cfRule>
  </conditionalFormatting>
  <conditionalFormatting sqref="B29">
    <cfRule type="expression" dxfId="51" priority="1" stopIfTrue="1">
      <formula>E11=1</formula>
    </cfRule>
  </conditionalFormatting>
  <conditionalFormatting sqref="C29">
    <cfRule type="expression" dxfId="50" priority="5" stopIfTrue="1">
      <formula>G11=1</formula>
    </cfRule>
  </conditionalFormatting>
  <hyperlinks>
    <hyperlink ref="B13:C13" location="Kalkulation_Eigenstrom!U1:AK8" display="Anlage"/>
    <hyperlink ref="B14:C14" location="Kalkulation_Eigenstrom!U1:AK8" display="(hier klicken)"/>
    <hyperlink ref="B17:C20" location="Kalkulation_Eigenstrom!AM1:BA8" display="Kosten"/>
    <hyperlink ref="B21:C21" location="Kalkulation_Eigenstrom!AM1:BA8" display="(hier klicken)"/>
    <hyperlink ref="B25:C28" location="Kalkulation_Eigenstrom!BC1:BR8" display="Erlöse "/>
    <hyperlink ref="B29:C29" location="Kalkulation_Eigenstrom!BC1:BR8" display="(hier klicken)"/>
    <hyperlink ref="B61:C64" location="Druck!G15" display="Druck "/>
    <hyperlink ref="B65:C65" location="Druck!G15" display="(hier klicken)"/>
    <hyperlink ref="B33:C43" location="Kalkulation_Eigenstrom!BT1:CL8" display="Kalkulation_Eigenstrom!BT1:CL8"/>
    <hyperlink ref="B47:C57" location="Kalkulation_Eigenstrom!CK1:DE8" display="Kalkulation_Eigenstrom!CK1:DE8"/>
  </hyperlinks>
  <pageMargins left="0.39370078740157483" right="0.19685039370078741" top="0.19685039370078741" bottom="0.19685039370078741" header="0.31496062992125984" footer="0.31496062992125984"/>
  <pageSetup paperSize="9" scale="67"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235"/>
  <sheetViews>
    <sheetView zoomScale="80" zoomScaleNormal="80" workbookViewId="0">
      <pane ySplit="5" topLeftCell="A147" activePane="bottomLeft" state="frozen"/>
      <selection pane="bottomLeft" activeCell="D169" sqref="D169"/>
    </sheetView>
  </sheetViews>
  <sheetFormatPr baseColWidth="10" defaultColWidth="11.42578125" defaultRowHeight="12.75"/>
  <cols>
    <col min="1" max="1" width="2.7109375" style="84" customWidth="1"/>
    <col min="2" max="3" width="5.7109375" style="84" customWidth="1"/>
    <col min="4" max="34" width="11.42578125" style="84"/>
    <col min="35" max="40" width="11.42578125" style="1084"/>
    <col min="41" max="16384" width="11.42578125" style="84"/>
  </cols>
  <sheetData>
    <row r="1" spans="1:42" s="6" customFormat="1" ht="24.95" customHeight="1" thickBot="1">
      <c r="A1" s="10"/>
      <c r="B1" s="16" t="s">
        <v>163</v>
      </c>
      <c r="C1" s="16"/>
      <c r="D1" s="16"/>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row>
    <row r="2" spans="1:42" s="6" customFormat="1" ht="15" customHeight="1" thickTop="1" thickBot="1">
      <c r="A2" s="10"/>
      <c r="B2" s="2"/>
      <c r="C2" s="3"/>
      <c r="D2" s="7" t="s">
        <v>58</v>
      </c>
      <c r="E2" s="3"/>
      <c r="F2" s="46" t="s">
        <v>164</v>
      </c>
      <c r="G2" s="150" t="s">
        <v>101</v>
      </c>
      <c r="H2" s="7"/>
      <c r="I2" s="7"/>
      <c r="J2" s="7"/>
      <c r="K2" s="7"/>
      <c r="L2" s="7"/>
      <c r="M2" s="7"/>
      <c r="N2" s="7"/>
      <c r="O2" s="7"/>
      <c r="P2" s="7"/>
      <c r="Q2" s="7"/>
      <c r="R2" s="49"/>
      <c r="S2" s="49"/>
      <c r="T2" s="49"/>
      <c r="U2" s="49"/>
      <c r="V2" s="49"/>
      <c r="W2" s="49"/>
      <c r="X2" s="49"/>
      <c r="Y2" s="49"/>
      <c r="Z2" s="49"/>
      <c r="AA2" s="49"/>
      <c r="AB2" s="49"/>
      <c r="AC2" s="49"/>
      <c r="AD2" s="49"/>
      <c r="AE2" s="49"/>
      <c r="AF2" s="49"/>
      <c r="AG2" s="49"/>
      <c r="AH2" s="49"/>
      <c r="AI2" s="49"/>
      <c r="AJ2" s="49"/>
      <c r="AK2" s="49"/>
      <c r="AL2" s="49"/>
      <c r="AM2" s="49"/>
      <c r="AN2" s="49"/>
      <c r="AO2" s="10"/>
      <c r="AP2" s="10"/>
    </row>
    <row r="3" spans="1:42" s="15" customFormat="1" ht="15" customHeight="1">
      <c r="A3" s="10"/>
      <c r="B3" s="13"/>
      <c r="C3" s="66"/>
      <c r="D3" s="4" t="s">
        <v>59</v>
      </c>
      <c r="E3" s="14"/>
      <c r="F3" s="148" t="s">
        <v>165</v>
      </c>
      <c r="G3" s="151" t="s">
        <v>56</v>
      </c>
      <c r="H3" s="1642" t="s">
        <v>537</v>
      </c>
      <c r="I3" s="1643"/>
      <c r="J3" s="1643"/>
      <c r="K3" s="1643"/>
      <c r="L3" s="1643"/>
      <c r="M3" s="1643"/>
      <c r="N3" s="1643"/>
      <c r="O3" s="1643"/>
      <c r="P3" s="1643"/>
      <c r="Q3" s="1643"/>
      <c r="R3" s="1643"/>
      <c r="S3" s="1643"/>
      <c r="T3" s="1643"/>
      <c r="U3" s="1644"/>
      <c r="V3" s="1645" t="s">
        <v>107</v>
      </c>
      <c r="W3" s="1646"/>
      <c r="X3" s="1646"/>
      <c r="Y3" s="1647"/>
      <c r="Z3" s="1645" t="s">
        <v>115</v>
      </c>
      <c r="AA3" s="1647"/>
      <c r="AB3" s="1645" t="s">
        <v>108</v>
      </c>
      <c r="AC3" s="1646"/>
      <c r="AD3" s="1646"/>
      <c r="AE3" s="1646"/>
      <c r="AF3" s="75"/>
      <c r="AG3" s="76"/>
      <c r="AH3" s="1112" t="s">
        <v>1138</v>
      </c>
      <c r="AI3" s="1113"/>
      <c r="AJ3" s="1113"/>
      <c r="AK3" s="1114"/>
      <c r="AL3" s="48"/>
      <c r="AM3" s="48"/>
      <c r="AN3" s="48"/>
      <c r="AO3" s="12"/>
      <c r="AP3" s="12"/>
    </row>
    <row r="4" spans="1:42" s="15" customFormat="1" ht="15" customHeight="1">
      <c r="A4" s="10"/>
      <c r="B4" s="13"/>
      <c r="C4" s="66"/>
      <c r="D4" s="4"/>
      <c r="E4" s="14"/>
      <c r="F4" s="148"/>
      <c r="G4" s="151"/>
      <c r="H4" s="1654" t="s">
        <v>364</v>
      </c>
      <c r="I4" s="1655"/>
      <c r="J4" s="1655"/>
      <c r="K4" s="1655"/>
      <c r="L4" s="1655"/>
      <c r="M4" s="1655"/>
      <c r="N4" s="1655"/>
      <c r="O4" s="1656"/>
      <c r="P4" s="1654" t="s">
        <v>365</v>
      </c>
      <c r="Q4" s="1656"/>
      <c r="R4" s="621"/>
      <c r="S4" s="621"/>
      <c r="T4" s="621"/>
      <c r="U4" s="622"/>
      <c r="V4" s="623"/>
      <c r="W4" s="624"/>
      <c r="X4" s="624"/>
      <c r="Y4" s="625"/>
      <c r="Z4" s="623"/>
      <c r="AA4" s="625"/>
      <c r="AB4" s="623"/>
      <c r="AC4" s="624"/>
      <c r="AD4" s="624"/>
      <c r="AE4" s="624"/>
      <c r="AF4" s="626"/>
      <c r="AG4" s="627"/>
      <c r="AH4" s="1657" t="s">
        <v>1139</v>
      </c>
      <c r="AI4" s="1658"/>
      <c r="AJ4" s="1659" t="s">
        <v>551</v>
      </c>
      <c r="AK4" s="1660"/>
      <c r="AL4" s="48"/>
      <c r="AM4" s="48"/>
      <c r="AN4" s="48"/>
      <c r="AO4" s="12"/>
      <c r="AP4" s="12"/>
    </row>
    <row r="5" spans="1:42" s="15" customFormat="1" ht="15" customHeight="1">
      <c r="A5" s="10"/>
      <c r="B5" s="13"/>
      <c r="C5" s="66"/>
      <c r="D5" s="4"/>
      <c r="E5" s="14"/>
      <c r="F5" s="14"/>
      <c r="G5" s="152" t="s">
        <v>57</v>
      </c>
      <c r="H5" s="22" t="s">
        <v>100</v>
      </c>
      <c r="I5" s="25" t="s">
        <v>99</v>
      </c>
      <c r="J5" s="23" t="s">
        <v>100</v>
      </c>
      <c r="K5" s="25" t="s">
        <v>99</v>
      </c>
      <c r="L5" s="23" t="s">
        <v>100</v>
      </c>
      <c r="M5" s="25" t="s">
        <v>99</v>
      </c>
      <c r="N5" s="23" t="s">
        <v>100</v>
      </c>
      <c r="O5" s="25" t="s">
        <v>99</v>
      </c>
      <c r="P5" s="23" t="s">
        <v>100</v>
      </c>
      <c r="Q5" s="25" t="s">
        <v>99</v>
      </c>
      <c r="R5" s="50"/>
      <c r="S5" s="51"/>
      <c r="T5" s="51"/>
      <c r="U5" s="52" t="s">
        <v>102</v>
      </c>
      <c r="V5" s="69">
        <v>0.3</v>
      </c>
      <c r="W5" s="25" t="s">
        <v>99</v>
      </c>
      <c r="X5" s="70">
        <v>1</v>
      </c>
      <c r="Y5" s="24" t="s">
        <v>99</v>
      </c>
      <c r="Z5" s="1648" t="s">
        <v>116</v>
      </c>
      <c r="AA5" s="1649"/>
      <c r="AB5" s="1650">
        <v>10</v>
      </c>
      <c r="AC5" s="1651"/>
      <c r="AD5" s="1652">
        <v>1000</v>
      </c>
      <c r="AE5" s="1653"/>
      <c r="AF5" s="1637">
        <v>10000</v>
      </c>
      <c r="AG5" s="1638"/>
      <c r="AH5" s="1111" t="s">
        <v>103</v>
      </c>
      <c r="AI5" s="1111" t="s">
        <v>128</v>
      </c>
      <c r="AJ5" s="1111" t="s">
        <v>1136</v>
      </c>
      <c r="AK5" s="1111" t="s">
        <v>1140</v>
      </c>
      <c r="AL5" s="48"/>
      <c r="AM5" s="48"/>
      <c r="AN5" s="48"/>
      <c r="AO5" s="12"/>
      <c r="AP5" s="12"/>
    </row>
    <row r="6" spans="1:42" s="6" customFormat="1" ht="15" customHeight="1">
      <c r="A6" s="10"/>
      <c r="B6" s="8">
        <v>1</v>
      </c>
      <c r="C6" s="4">
        <v>1</v>
      </c>
      <c r="D6" s="5" t="s">
        <v>87</v>
      </c>
      <c r="E6" s="17"/>
      <c r="F6" s="153">
        <v>0.19</v>
      </c>
      <c r="G6" s="27" t="s">
        <v>55</v>
      </c>
      <c r="H6" s="19">
        <v>30</v>
      </c>
      <c r="I6" s="20">
        <v>0.43009999999999998</v>
      </c>
      <c r="J6" s="28">
        <v>100</v>
      </c>
      <c r="K6" s="20">
        <v>0.40910000000000002</v>
      </c>
      <c r="L6" s="29">
        <v>1000</v>
      </c>
      <c r="M6" s="20">
        <v>0.39579999999999999</v>
      </c>
      <c r="N6" s="30">
        <f>L6</f>
        <v>1000</v>
      </c>
      <c r="O6" s="26">
        <v>0.33</v>
      </c>
      <c r="P6" s="30"/>
      <c r="Q6" s="26">
        <v>0.31940000000000002</v>
      </c>
      <c r="R6" s="57"/>
      <c r="S6" s="58"/>
      <c r="T6" s="58"/>
      <c r="U6" s="59"/>
      <c r="V6" s="53"/>
      <c r="W6" s="26">
        <v>0.18</v>
      </c>
      <c r="X6" s="53"/>
      <c r="Y6" s="26">
        <v>0.18</v>
      </c>
      <c r="Z6" s="77" t="s">
        <v>103</v>
      </c>
      <c r="AA6" s="78">
        <v>30</v>
      </c>
      <c r="AB6" s="57"/>
      <c r="AC6" s="71"/>
      <c r="AD6" s="57"/>
      <c r="AE6" s="71"/>
      <c r="AF6" s="57"/>
      <c r="AG6" s="71"/>
      <c r="AH6" s="54"/>
      <c r="AI6" s="54"/>
      <c r="AJ6" s="54"/>
      <c r="AK6" s="54"/>
      <c r="AL6" s="54"/>
      <c r="AM6" s="54"/>
      <c r="AN6" s="54"/>
      <c r="AO6" s="10"/>
      <c r="AP6" s="10"/>
    </row>
    <row r="7" spans="1:42" s="6" customFormat="1" ht="15" customHeight="1">
      <c r="A7" s="10"/>
      <c r="B7" s="8">
        <v>2</v>
      </c>
      <c r="C7" s="4">
        <v>1</v>
      </c>
      <c r="D7" s="5" t="s">
        <v>88</v>
      </c>
      <c r="E7" s="17"/>
      <c r="F7" s="153">
        <v>0.19</v>
      </c>
      <c r="G7" s="27" t="s">
        <v>55</v>
      </c>
      <c r="H7" s="19">
        <v>30</v>
      </c>
      <c r="I7" s="20">
        <v>0.43009999999999998</v>
      </c>
      <c r="J7" s="28">
        <v>100</v>
      </c>
      <c r="K7" s="20">
        <v>0.40910000000000002</v>
      </c>
      <c r="L7" s="29">
        <v>1000</v>
      </c>
      <c r="M7" s="20">
        <v>0.39579999999999999</v>
      </c>
      <c r="N7" s="30">
        <f t="shared" ref="N7:N42" si="0">L7</f>
        <v>1000</v>
      </c>
      <c r="O7" s="26">
        <v>0.33</v>
      </c>
      <c r="P7" s="30"/>
      <c r="Q7" s="26">
        <v>0.31940000000000002</v>
      </c>
      <c r="R7" s="60"/>
      <c r="S7" s="61"/>
      <c r="T7" s="61"/>
      <c r="U7" s="62"/>
      <c r="V7" s="53"/>
      <c r="W7" s="26">
        <v>0.18</v>
      </c>
      <c r="X7" s="53"/>
      <c r="Y7" s="26">
        <v>0.18</v>
      </c>
      <c r="Z7" s="77" t="s">
        <v>103</v>
      </c>
      <c r="AA7" s="78">
        <v>30</v>
      </c>
      <c r="AB7" s="60"/>
      <c r="AC7" s="72"/>
      <c r="AD7" s="60"/>
      <c r="AE7" s="72"/>
      <c r="AF7" s="60"/>
      <c r="AG7" s="72"/>
      <c r="AH7" s="54"/>
      <c r="AI7" s="54"/>
      <c r="AJ7" s="54"/>
      <c r="AK7" s="54"/>
      <c r="AL7" s="54"/>
      <c r="AM7" s="54"/>
      <c r="AN7" s="54"/>
      <c r="AO7" s="10"/>
      <c r="AP7" s="10"/>
    </row>
    <row r="8" spans="1:42" s="6" customFormat="1" ht="15" customHeight="1">
      <c r="A8" s="10"/>
      <c r="B8" s="8">
        <v>3</v>
      </c>
      <c r="C8" s="4">
        <v>1</v>
      </c>
      <c r="D8" s="5" t="s">
        <v>89</v>
      </c>
      <c r="E8" s="17"/>
      <c r="F8" s="153">
        <v>0.19</v>
      </c>
      <c r="G8" s="27" t="s">
        <v>55</v>
      </c>
      <c r="H8" s="19">
        <v>30</v>
      </c>
      <c r="I8" s="20">
        <v>0.43009999999999998</v>
      </c>
      <c r="J8" s="28">
        <v>100</v>
      </c>
      <c r="K8" s="20">
        <v>0.40910000000000002</v>
      </c>
      <c r="L8" s="29">
        <v>1000</v>
      </c>
      <c r="M8" s="20">
        <v>0.39579999999999999</v>
      </c>
      <c r="N8" s="30">
        <f t="shared" si="0"/>
        <v>1000</v>
      </c>
      <c r="O8" s="26">
        <v>0.33</v>
      </c>
      <c r="P8" s="30"/>
      <c r="Q8" s="26">
        <v>0.31940000000000002</v>
      </c>
      <c r="R8" s="60"/>
      <c r="S8" s="61"/>
      <c r="T8" s="61"/>
      <c r="U8" s="62"/>
      <c r="V8" s="53"/>
      <c r="W8" s="26">
        <v>0.18</v>
      </c>
      <c r="X8" s="53"/>
      <c r="Y8" s="26">
        <v>0.18</v>
      </c>
      <c r="Z8" s="77" t="s">
        <v>103</v>
      </c>
      <c r="AA8" s="78">
        <v>30</v>
      </c>
      <c r="AB8" s="60"/>
      <c r="AC8" s="72"/>
      <c r="AD8" s="60"/>
      <c r="AE8" s="72"/>
      <c r="AF8" s="60"/>
      <c r="AG8" s="72"/>
      <c r="AH8" s="54"/>
      <c r="AI8" s="54"/>
      <c r="AJ8" s="54"/>
      <c r="AK8" s="54"/>
      <c r="AL8" s="54"/>
      <c r="AM8" s="54"/>
      <c r="AN8" s="54"/>
      <c r="AO8" s="10"/>
      <c r="AP8" s="10"/>
    </row>
    <row r="9" spans="1:42" s="6" customFormat="1" ht="15" customHeight="1">
      <c r="A9" s="10"/>
      <c r="B9" s="8">
        <v>4</v>
      </c>
      <c r="C9" s="4">
        <v>1</v>
      </c>
      <c r="D9" s="5" t="s">
        <v>90</v>
      </c>
      <c r="E9" s="17"/>
      <c r="F9" s="153">
        <v>0.19</v>
      </c>
      <c r="G9" s="27" t="s">
        <v>55</v>
      </c>
      <c r="H9" s="19">
        <v>30</v>
      </c>
      <c r="I9" s="20">
        <v>0.43009999999999998</v>
      </c>
      <c r="J9" s="28">
        <v>100</v>
      </c>
      <c r="K9" s="20">
        <v>0.40910000000000002</v>
      </c>
      <c r="L9" s="29">
        <v>1000</v>
      </c>
      <c r="M9" s="20">
        <v>0.39579999999999999</v>
      </c>
      <c r="N9" s="30">
        <f t="shared" si="0"/>
        <v>1000</v>
      </c>
      <c r="O9" s="26">
        <v>0.33</v>
      </c>
      <c r="P9" s="30"/>
      <c r="Q9" s="26">
        <v>0.31940000000000002</v>
      </c>
      <c r="R9" s="60"/>
      <c r="S9" s="61"/>
      <c r="T9" s="61"/>
      <c r="U9" s="62"/>
      <c r="V9" s="53"/>
      <c r="W9" s="26">
        <v>0.18</v>
      </c>
      <c r="X9" s="53"/>
      <c r="Y9" s="26">
        <v>0.18</v>
      </c>
      <c r="Z9" s="77" t="s">
        <v>103</v>
      </c>
      <c r="AA9" s="78">
        <v>30</v>
      </c>
      <c r="AB9" s="60"/>
      <c r="AC9" s="72"/>
      <c r="AD9" s="60"/>
      <c r="AE9" s="72"/>
      <c r="AF9" s="60"/>
      <c r="AG9" s="72"/>
      <c r="AH9" s="54"/>
      <c r="AI9" s="54"/>
      <c r="AJ9" s="54"/>
      <c r="AK9" s="54"/>
      <c r="AL9" s="54"/>
      <c r="AM9" s="54"/>
      <c r="AN9" s="54"/>
      <c r="AO9" s="10"/>
      <c r="AP9" s="10"/>
    </row>
    <row r="10" spans="1:42" s="6" customFormat="1" ht="15" customHeight="1">
      <c r="A10" s="10"/>
      <c r="B10" s="8">
        <v>5</v>
      </c>
      <c r="C10" s="4">
        <v>1</v>
      </c>
      <c r="D10" s="5" t="s">
        <v>91</v>
      </c>
      <c r="E10" s="17"/>
      <c r="F10" s="153">
        <v>0.19</v>
      </c>
      <c r="G10" s="27" t="s">
        <v>55</v>
      </c>
      <c r="H10" s="19">
        <v>30</v>
      </c>
      <c r="I10" s="20">
        <v>0.43009999999999998</v>
      </c>
      <c r="J10" s="28">
        <v>100</v>
      </c>
      <c r="K10" s="20">
        <v>0.40910000000000002</v>
      </c>
      <c r="L10" s="29">
        <v>1000</v>
      </c>
      <c r="M10" s="20">
        <v>0.39579999999999999</v>
      </c>
      <c r="N10" s="30">
        <f t="shared" si="0"/>
        <v>1000</v>
      </c>
      <c r="O10" s="26">
        <v>0.33</v>
      </c>
      <c r="P10" s="30"/>
      <c r="Q10" s="26">
        <v>0.31940000000000002</v>
      </c>
      <c r="R10" s="60"/>
      <c r="S10" s="61"/>
      <c r="T10" s="61"/>
      <c r="U10" s="62"/>
      <c r="V10" s="53"/>
      <c r="W10" s="26">
        <v>0.18</v>
      </c>
      <c r="X10" s="53"/>
      <c r="Y10" s="26">
        <v>0.18</v>
      </c>
      <c r="Z10" s="77" t="s">
        <v>103</v>
      </c>
      <c r="AA10" s="78">
        <v>30</v>
      </c>
      <c r="AB10" s="60"/>
      <c r="AC10" s="72"/>
      <c r="AD10" s="60"/>
      <c r="AE10" s="72"/>
      <c r="AF10" s="60"/>
      <c r="AG10" s="72"/>
      <c r="AH10" s="54"/>
      <c r="AI10" s="54"/>
      <c r="AJ10" s="54"/>
      <c r="AK10" s="54"/>
      <c r="AL10" s="54"/>
      <c r="AM10" s="54"/>
      <c r="AN10" s="54"/>
      <c r="AO10" s="10"/>
      <c r="AP10" s="10"/>
    </row>
    <row r="11" spans="1:42" s="6" customFormat="1" ht="15" customHeight="1">
      <c r="A11" s="10"/>
      <c r="B11" s="8">
        <v>6</v>
      </c>
      <c r="C11" s="4">
        <v>1</v>
      </c>
      <c r="D11" s="5" t="s">
        <v>92</v>
      </c>
      <c r="E11" s="17"/>
      <c r="F11" s="153">
        <v>0.19</v>
      </c>
      <c r="G11" s="27" t="s">
        <v>55</v>
      </c>
      <c r="H11" s="19">
        <v>30</v>
      </c>
      <c r="I11" s="20">
        <v>0.43009999999999998</v>
      </c>
      <c r="J11" s="28">
        <v>100</v>
      </c>
      <c r="K11" s="20">
        <v>0.40910000000000002</v>
      </c>
      <c r="L11" s="29">
        <v>1000</v>
      </c>
      <c r="M11" s="20">
        <v>0.39579999999999999</v>
      </c>
      <c r="N11" s="30">
        <f t="shared" si="0"/>
        <v>1000</v>
      </c>
      <c r="O11" s="26">
        <v>0.33</v>
      </c>
      <c r="P11" s="30"/>
      <c r="Q11" s="26">
        <v>0.31940000000000002</v>
      </c>
      <c r="R11" s="60"/>
      <c r="S11" s="61"/>
      <c r="T11" s="61"/>
      <c r="U11" s="62"/>
      <c r="V11" s="53"/>
      <c r="W11" s="26">
        <v>0.18</v>
      </c>
      <c r="X11" s="53"/>
      <c r="Y11" s="26">
        <v>0.18</v>
      </c>
      <c r="Z11" s="77" t="s">
        <v>103</v>
      </c>
      <c r="AA11" s="78">
        <v>30</v>
      </c>
      <c r="AB11" s="60"/>
      <c r="AC11" s="72"/>
      <c r="AD11" s="60"/>
      <c r="AE11" s="72"/>
      <c r="AF11" s="60"/>
      <c r="AG11" s="72"/>
      <c r="AH11" s="54"/>
      <c r="AI11" s="54"/>
      <c r="AJ11" s="54"/>
      <c r="AK11" s="54"/>
      <c r="AL11" s="54"/>
      <c r="AM11" s="54"/>
      <c r="AN11" s="54"/>
      <c r="AO11" s="10"/>
      <c r="AP11" s="10"/>
    </row>
    <row r="12" spans="1:42" s="6" customFormat="1" ht="15" customHeight="1">
      <c r="A12" s="10"/>
      <c r="B12" s="8">
        <v>7</v>
      </c>
      <c r="C12" s="4">
        <v>1</v>
      </c>
      <c r="D12" s="5" t="s">
        <v>93</v>
      </c>
      <c r="E12" s="17"/>
      <c r="F12" s="153">
        <v>0.19</v>
      </c>
      <c r="G12" s="27" t="s">
        <v>55</v>
      </c>
      <c r="H12" s="19">
        <v>30</v>
      </c>
      <c r="I12" s="20">
        <v>0.43009999999999998</v>
      </c>
      <c r="J12" s="28">
        <v>100</v>
      </c>
      <c r="K12" s="20">
        <v>0.40910000000000002</v>
      </c>
      <c r="L12" s="29">
        <v>1000</v>
      </c>
      <c r="M12" s="20">
        <v>0.39579999999999999</v>
      </c>
      <c r="N12" s="30">
        <f t="shared" si="0"/>
        <v>1000</v>
      </c>
      <c r="O12" s="26">
        <v>0.33</v>
      </c>
      <c r="P12" s="30"/>
      <c r="Q12" s="26">
        <v>0.31940000000000002</v>
      </c>
      <c r="R12" s="60"/>
      <c r="S12" s="61"/>
      <c r="T12" s="61"/>
      <c r="U12" s="62"/>
      <c r="V12" s="53"/>
      <c r="W12" s="26">
        <v>0.18</v>
      </c>
      <c r="X12" s="53"/>
      <c r="Y12" s="26">
        <v>0.18</v>
      </c>
      <c r="Z12" s="77" t="s">
        <v>103</v>
      </c>
      <c r="AA12" s="78">
        <v>30</v>
      </c>
      <c r="AB12" s="60"/>
      <c r="AC12" s="72"/>
      <c r="AD12" s="60"/>
      <c r="AE12" s="72"/>
      <c r="AF12" s="60"/>
      <c r="AG12" s="72"/>
      <c r="AH12" s="54"/>
      <c r="AI12" s="54"/>
      <c r="AJ12" s="54"/>
      <c r="AK12" s="54"/>
      <c r="AL12" s="54"/>
      <c r="AM12" s="54"/>
      <c r="AN12" s="54"/>
      <c r="AO12" s="10"/>
      <c r="AP12" s="10"/>
    </row>
    <row r="13" spans="1:42" s="6" customFormat="1" ht="15" customHeight="1">
      <c r="A13" s="10"/>
      <c r="B13" s="8">
        <v>8</v>
      </c>
      <c r="C13" s="4">
        <v>1</v>
      </c>
      <c r="D13" s="5" t="s">
        <v>94</v>
      </c>
      <c r="E13" s="17"/>
      <c r="F13" s="153">
        <v>0.19</v>
      </c>
      <c r="G13" s="27" t="s">
        <v>55</v>
      </c>
      <c r="H13" s="19">
        <v>30</v>
      </c>
      <c r="I13" s="20">
        <v>0.43009999999999998</v>
      </c>
      <c r="J13" s="28">
        <v>100</v>
      </c>
      <c r="K13" s="20">
        <v>0.40910000000000002</v>
      </c>
      <c r="L13" s="29">
        <v>1000</v>
      </c>
      <c r="M13" s="20">
        <v>0.39579999999999999</v>
      </c>
      <c r="N13" s="30">
        <f t="shared" si="0"/>
        <v>1000</v>
      </c>
      <c r="O13" s="26">
        <v>0.33</v>
      </c>
      <c r="P13" s="30"/>
      <c r="Q13" s="26">
        <v>0.31940000000000002</v>
      </c>
      <c r="R13" s="60"/>
      <c r="S13" s="61"/>
      <c r="T13" s="61"/>
      <c r="U13" s="62"/>
      <c r="V13" s="53"/>
      <c r="W13" s="26">
        <v>0.18</v>
      </c>
      <c r="X13" s="53"/>
      <c r="Y13" s="26">
        <v>0.18</v>
      </c>
      <c r="Z13" s="77" t="s">
        <v>103</v>
      </c>
      <c r="AA13" s="78">
        <v>30</v>
      </c>
      <c r="AB13" s="60"/>
      <c r="AC13" s="72"/>
      <c r="AD13" s="60"/>
      <c r="AE13" s="72"/>
      <c r="AF13" s="60"/>
      <c r="AG13" s="72"/>
      <c r="AH13" s="54"/>
      <c r="AI13" s="54"/>
      <c r="AJ13" s="54"/>
      <c r="AK13" s="54"/>
      <c r="AL13" s="54"/>
      <c r="AM13" s="54"/>
      <c r="AN13" s="54"/>
      <c r="AO13" s="10"/>
      <c r="AP13" s="10"/>
    </row>
    <row r="14" spans="1:42" s="6" customFormat="1" ht="15" customHeight="1">
      <c r="A14" s="10"/>
      <c r="B14" s="8">
        <v>9</v>
      </c>
      <c r="C14" s="4">
        <v>1</v>
      </c>
      <c r="D14" s="5" t="s">
        <v>95</v>
      </c>
      <c r="E14" s="17"/>
      <c r="F14" s="153">
        <v>0.19</v>
      </c>
      <c r="G14" s="27" t="s">
        <v>55</v>
      </c>
      <c r="H14" s="19">
        <v>30</v>
      </c>
      <c r="I14" s="20">
        <v>0.43009999999999998</v>
      </c>
      <c r="J14" s="28">
        <v>100</v>
      </c>
      <c r="K14" s="20">
        <v>0.40910000000000002</v>
      </c>
      <c r="L14" s="29">
        <v>1000</v>
      </c>
      <c r="M14" s="20">
        <v>0.39579999999999999</v>
      </c>
      <c r="N14" s="30">
        <f t="shared" si="0"/>
        <v>1000</v>
      </c>
      <c r="O14" s="26">
        <v>0.33</v>
      </c>
      <c r="P14" s="30"/>
      <c r="Q14" s="26">
        <v>0.31940000000000002</v>
      </c>
      <c r="R14" s="60"/>
      <c r="S14" s="61"/>
      <c r="T14" s="61"/>
      <c r="U14" s="62"/>
      <c r="V14" s="53"/>
      <c r="W14" s="26">
        <v>0.18</v>
      </c>
      <c r="X14" s="53"/>
      <c r="Y14" s="26">
        <v>0.18</v>
      </c>
      <c r="Z14" s="77" t="s">
        <v>103</v>
      </c>
      <c r="AA14" s="78">
        <v>30</v>
      </c>
      <c r="AB14" s="60"/>
      <c r="AC14" s="72"/>
      <c r="AD14" s="60"/>
      <c r="AE14" s="72"/>
      <c r="AF14" s="60"/>
      <c r="AG14" s="72"/>
      <c r="AH14" s="54"/>
      <c r="AI14" s="54"/>
      <c r="AJ14" s="54"/>
      <c r="AK14" s="54"/>
      <c r="AL14" s="54"/>
      <c r="AM14" s="54"/>
      <c r="AN14" s="54"/>
      <c r="AO14" s="10"/>
      <c r="AP14" s="10"/>
    </row>
    <row r="15" spans="1:42" s="6" customFormat="1" ht="15" customHeight="1">
      <c r="A15" s="10"/>
      <c r="B15" s="8">
        <v>10</v>
      </c>
      <c r="C15" s="4">
        <v>1</v>
      </c>
      <c r="D15" s="5" t="s">
        <v>96</v>
      </c>
      <c r="E15" s="17"/>
      <c r="F15" s="153">
        <v>0.19</v>
      </c>
      <c r="G15" s="27" t="s">
        <v>55</v>
      </c>
      <c r="H15" s="19">
        <v>30</v>
      </c>
      <c r="I15" s="20">
        <v>0.43009999999999998</v>
      </c>
      <c r="J15" s="28">
        <v>100</v>
      </c>
      <c r="K15" s="20">
        <v>0.40910000000000002</v>
      </c>
      <c r="L15" s="29">
        <v>1000</v>
      </c>
      <c r="M15" s="20">
        <v>0.39579999999999999</v>
      </c>
      <c r="N15" s="30">
        <f t="shared" si="0"/>
        <v>1000</v>
      </c>
      <c r="O15" s="26">
        <v>0.33</v>
      </c>
      <c r="P15" s="30"/>
      <c r="Q15" s="26">
        <v>0.31940000000000002</v>
      </c>
      <c r="R15" s="60"/>
      <c r="S15" s="61"/>
      <c r="T15" s="61"/>
      <c r="U15" s="62"/>
      <c r="V15" s="53"/>
      <c r="W15" s="26">
        <v>0.18</v>
      </c>
      <c r="X15" s="53"/>
      <c r="Y15" s="26">
        <v>0.18</v>
      </c>
      <c r="Z15" s="77" t="s">
        <v>103</v>
      </c>
      <c r="AA15" s="78">
        <v>30</v>
      </c>
      <c r="AB15" s="60"/>
      <c r="AC15" s="72"/>
      <c r="AD15" s="60"/>
      <c r="AE15" s="72"/>
      <c r="AF15" s="60"/>
      <c r="AG15" s="72"/>
      <c r="AH15" s="54"/>
      <c r="AI15" s="54"/>
      <c r="AJ15" s="54"/>
      <c r="AK15" s="54"/>
      <c r="AL15" s="54"/>
      <c r="AM15" s="54"/>
      <c r="AN15" s="54"/>
      <c r="AO15" s="10"/>
      <c r="AP15" s="10"/>
    </row>
    <row r="16" spans="1:42" s="6" customFormat="1" ht="15" customHeight="1">
      <c r="A16" s="10"/>
      <c r="B16" s="8">
        <v>11</v>
      </c>
      <c r="C16" s="4">
        <v>1</v>
      </c>
      <c r="D16" s="5" t="s">
        <v>97</v>
      </c>
      <c r="E16" s="17"/>
      <c r="F16" s="153">
        <v>0.19</v>
      </c>
      <c r="G16" s="27" t="s">
        <v>55</v>
      </c>
      <c r="H16" s="19">
        <v>30</v>
      </c>
      <c r="I16" s="20">
        <v>0.43009999999999998</v>
      </c>
      <c r="J16" s="28">
        <v>100</v>
      </c>
      <c r="K16" s="20">
        <v>0.40910000000000002</v>
      </c>
      <c r="L16" s="29">
        <v>1000</v>
      </c>
      <c r="M16" s="20">
        <v>0.39579999999999999</v>
      </c>
      <c r="N16" s="30">
        <f t="shared" si="0"/>
        <v>1000</v>
      </c>
      <c r="O16" s="26">
        <v>0.33</v>
      </c>
      <c r="P16" s="30"/>
      <c r="Q16" s="26">
        <v>0.31940000000000002</v>
      </c>
      <c r="R16" s="60"/>
      <c r="S16" s="61"/>
      <c r="T16" s="61"/>
      <c r="U16" s="62"/>
      <c r="V16" s="53"/>
      <c r="W16" s="26">
        <v>0.18</v>
      </c>
      <c r="X16" s="53"/>
      <c r="Y16" s="26">
        <v>0.18</v>
      </c>
      <c r="Z16" s="77" t="s">
        <v>103</v>
      </c>
      <c r="AA16" s="78">
        <v>30</v>
      </c>
      <c r="AB16" s="60"/>
      <c r="AC16" s="72"/>
      <c r="AD16" s="60"/>
      <c r="AE16" s="72"/>
      <c r="AF16" s="60"/>
      <c r="AG16" s="72"/>
      <c r="AH16" s="54"/>
      <c r="AI16" s="54"/>
      <c r="AJ16" s="54"/>
      <c r="AK16" s="54"/>
      <c r="AL16" s="54"/>
      <c r="AM16" s="54"/>
      <c r="AN16" s="54"/>
      <c r="AO16" s="10"/>
      <c r="AP16" s="10"/>
    </row>
    <row r="17" spans="1:42" s="6" customFormat="1" ht="15" customHeight="1">
      <c r="A17" s="10"/>
      <c r="B17" s="8">
        <v>12</v>
      </c>
      <c r="C17" s="4">
        <v>1</v>
      </c>
      <c r="D17" s="5" t="s">
        <v>98</v>
      </c>
      <c r="E17" s="17"/>
      <c r="F17" s="153">
        <v>0.19</v>
      </c>
      <c r="G17" s="27" t="s">
        <v>55</v>
      </c>
      <c r="H17" s="19">
        <v>30</v>
      </c>
      <c r="I17" s="20">
        <v>0.43009999999999998</v>
      </c>
      <c r="J17" s="28">
        <v>100</v>
      </c>
      <c r="K17" s="20">
        <v>0.40910000000000002</v>
      </c>
      <c r="L17" s="29">
        <v>1000</v>
      </c>
      <c r="M17" s="20">
        <v>0.39579999999999999</v>
      </c>
      <c r="N17" s="30">
        <f t="shared" si="0"/>
        <v>1000</v>
      </c>
      <c r="O17" s="26">
        <v>0.33</v>
      </c>
      <c r="P17" s="30"/>
      <c r="Q17" s="26">
        <v>0.31940000000000002</v>
      </c>
      <c r="R17" s="60"/>
      <c r="S17" s="61"/>
      <c r="T17" s="61"/>
      <c r="U17" s="62"/>
      <c r="V17" s="53"/>
      <c r="W17" s="26">
        <v>0.18</v>
      </c>
      <c r="X17" s="53"/>
      <c r="Y17" s="26">
        <v>0.18</v>
      </c>
      <c r="Z17" s="77" t="s">
        <v>103</v>
      </c>
      <c r="AA17" s="78">
        <v>30</v>
      </c>
      <c r="AB17" s="60"/>
      <c r="AC17" s="72"/>
      <c r="AD17" s="60"/>
      <c r="AE17" s="72"/>
      <c r="AF17" s="60"/>
      <c r="AG17" s="72"/>
      <c r="AH17" s="54"/>
      <c r="AI17" s="54"/>
      <c r="AJ17" s="54"/>
      <c r="AK17" s="54"/>
      <c r="AL17" s="54"/>
      <c r="AM17" s="54"/>
      <c r="AN17" s="54"/>
      <c r="AO17" s="10"/>
      <c r="AP17" s="10"/>
    </row>
    <row r="18" spans="1:42" s="6" customFormat="1" ht="15" customHeight="1">
      <c r="A18" s="10"/>
      <c r="B18" s="8">
        <v>13</v>
      </c>
      <c r="C18" s="4">
        <v>1</v>
      </c>
      <c r="D18" s="5" t="s">
        <v>75</v>
      </c>
      <c r="E18" s="17"/>
      <c r="F18" s="153">
        <v>0.19</v>
      </c>
      <c r="G18" s="27" t="s">
        <v>55</v>
      </c>
      <c r="H18" s="19">
        <v>30</v>
      </c>
      <c r="I18" s="20">
        <v>0.39140000000000003</v>
      </c>
      <c r="J18" s="28">
        <v>100</v>
      </c>
      <c r="K18" s="20">
        <v>0.37230000000000002</v>
      </c>
      <c r="L18" s="29">
        <v>1000</v>
      </c>
      <c r="M18" s="20">
        <v>0.3523</v>
      </c>
      <c r="N18" s="30">
        <f t="shared" si="0"/>
        <v>1000</v>
      </c>
      <c r="O18" s="26">
        <v>0.29370000000000002</v>
      </c>
      <c r="P18" s="30"/>
      <c r="Q18" s="26">
        <v>0.2843</v>
      </c>
      <c r="R18" s="60"/>
      <c r="S18" s="61"/>
      <c r="T18" s="61"/>
      <c r="U18" s="62"/>
      <c r="V18" s="53"/>
      <c r="W18" s="26">
        <v>0.1638</v>
      </c>
      <c r="X18" s="53"/>
      <c r="Y18" s="26">
        <v>0.1638</v>
      </c>
      <c r="Z18" s="77" t="s">
        <v>103</v>
      </c>
      <c r="AA18" s="78">
        <v>30</v>
      </c>
      <c r="AB18" s="60"/>
      <c r="AC18" s="72"/>
      <c r="AD18" s="60"/>
      <c r="AE18" s="72"/>
      <c r="AF18" s="60"/>
      <c r="AG18" s="72"/>
      <c r="AH18" s="54"/>
      <c r="AI18" s="54"/>
      <c r="AJ18" s="54"/>
      <c r="AK18" s="54"/>
      <c r="AL18" s="54"/>
      <c r="AM18" s="54"/>
      <c r="AN18" s="54"/>
      <c r="AO18" s="10"/>
      <c r="AP18" s="10"/>
    </row>
    <row r="19" spans="1:42" s="6" customFormat="1" ht="15" customHeight="1">
      <c r="A19" s="10"/>
      <c r="B19" s="8">
        <v>14</v>
      </c>
      <c r="C19" s="4">
        <v>1</v>
      </c>
      <c r="D19" s="5" t="s">
        <v>76</v>
      </c>
      <c r="E19" s="17"/>
      <c r="F19" s="153">
        <v>0.19</v>
      </c>
      <c r="G19" s="27" t="s">
        <v>55</v>
      </c>
      <c r="H19" s="19">
        <v>30</v>
      </c>
      <c r="I19" s="20">
        <v>0.39140000000000003</v>
      </c>
      <c r="J19" s="28">
        <v>100</v>
      </c>
      <c r="K19" s="20">
        <v>0.37230000000000002</v>
      </c>
      <c r="L19" s="29">
        <v>1000</v>
      </c>
      <c r="M19" s="20">
        <v>0.3523</v>
      </c>
      <c r="N19" s="30">
        <f t="shared" si="0"/>
        <v>1000</v>
      </c>
      <c r="O19" s="26">
        <v>0.29370000000000002</v>
      </c>
      <c r="P19" s="30"/>
      <c r="Q19" s="26">
        <v>0.2843</v>
      </c>
      <c r="R19" s="60"/>
      <c r="S19" s="61"/>
      <c r="T19" s="61"/>
      <c r="U19" s="62"/>
      <c r="V19" s="53"/>
      <c r="W19" s="26">
        <v>0.1638</v>
      </c>
      <c r="X19" s="53"/>
      <c r="Y19" s="26">
        <v>0.1638</v>
      </c>
      <c r="Z19" s="77" t="s">
        <v>103</v>
      </c>
      <c r="AA19" s="78">
        <v>30</v>
      </c>
      <c r="AB19" s="60"/>
      <c r="AC19" s="72"/>
      <c r="AD19" s="60"/>
      <c r="AE19" s="72"/>
      <c r="AF19" s="60"/>
      <c r="AG19" s="72"/>
      <c r="AH19" s="54"/>
      <c r="AI19" s="54"/>
      <c r="AJ19" s="54"/>
      <c r="AK19" s="54"/>
      <c r="AL19" s="54"/>
      <c r="AM19" s="54"/>
      <c r="AN19" s="54"/>
      <c r="AO19" s="10"/>
      <c r="AP19" s="10"/>
    </row>
    <row r="20" spans="1:42" s="6" customFormat="1" ht="15" customHeight="1">
      <c r="A20" s="10"/>
      <c r="B20" s="8">
        <v>15</v>
      </c>
      <c r="C20" s="4">
        <v>1</v>
      </c>
      <c r="D20" s="5" t="s">
        <v>77</v>
      </c>
      <c r="E20" s="17"/>
      <c r="F20" s="153">
        <v>0.19</v>
      </c>
      <c r="G20" s="27" t="s">
        <v>55</v>
      </c>
      <c r="H20" s="19">
        <v>30</v>
      </c>
      <c r="I20" s="20">
        <v>0.39140000000000003</v>
      </c>
      <c r="J20" s="28">
        <v>100</v>
      </c>
      <c r="K20" s="20">
        <v>0.37230000000000002</v>
      </c>
      <c r="L20" s="29">
        <v>1000</v>
      </c>
      <c r="M20" s="20">
        <v>0.3523</v>
      </c>
      <c r="N20" s="30">
        <f t="shared" si="0"/>
        <v>1000</v>
      </c>
      <c r="O20" s="26">
        <v>0.29370000000000002</v>
      </c>
      <c r="P20" s="30"/>
      <c r="Q20" s="26">
        <v>0.2843</v>
      </c>
      <c r="R20" s="60"/>
      <c r="S20" s="61"/>
      <c r="T20" s="61"/>
      <c r="U20" s="62"/>
      <c r="V20" s="53"/>
      <c r="W20" s="26">
        <v>0.1638</v>
      </c>
      <c r="X20" s="53"/>
      <c r="Y20" s="26">
        <v>0.1638</v>
      </c>
      <c r="Z20" s="77" t="s">
        <v>103</v>
      </c>
      <c r="AA20" s="78">
        <v>30</v>
      </c>
      <c r="AB20" s="60"/>
      <c r="AC20" s="72"/>
      <c r="AD20" s="60"/>
      <c r="AE20" s="72"/>
      <c r="AF20" s="60"/>
      <c r="AG20" s="72"/>
      <c r="AH20" s="54"/>
      <c r="AI20" s="54"/>
      <c r="AJ20" s="54"/>
      <c r="AK20" s="54"/>
      <c r="AL20" s="54"/>
      <c r="AM20" s="54"/>
      <c r="AN20" s="54"/>
      <c r="AO20" s="10"/>
      <c r="AP20" s="10"/>
    </row>
    <row r="21" spans="1:42" s="6" customFormat="1" ht="15" customHeight="1">
      <c r="A21" s="10"/>
      <c r="B21" s="8">
        <v>16</v>
      </c>
      <c r="C21" s="4">
        <v>1</v>
      </c>
      <c r="D21" s="5" t="s">
        <v>78</v>
      </c>
      <c r="E21" s="17"/>
      <c r="F21" s="153">
        <v>0.19</v>
      </c>
      <c r="G21" s="27" t="s">
        <v>55</v>
      </c>
      <c r="H21" s="19">
        <v>30</v>
      </c>
      <c r="I21" s="20">
        <v>0.39140000000000003</v>
      </c>
      <c r="J21" s="28">
        <v>100</v>
      </c>
      <c r="K21" s="20">
        <v>0.37230000000000002</v>
      </c>
      <c r="L21" s="29">
        <v>1000</v>
      </c>
      <c r="M21" s="20">
        <v>0.3523</v>
      </c>
      <c r="N21" s="30">
        <f t="shared" si="0"/>
        <v>1000</v>
      </c>
      <c r="O21" s="26">
        <v>0.29370000000000002</v>
      </c>
      <c r="P21" s="30"/>
      <c r="Q21" s="26">
        <v>0.2843</v>
      </c>
      <c r="R21" s="60"/>
      <c r="S21" s="61"/>
      <c r="T21" s="61"/>
      <c r="U21" s="62"/>
      <c r="V21" s="53"/>
      <c r="W21" s="26">
        <v>0.1638</v>
      </c>
      <c r="X21" s="53"/>
      <c r="Y21" s="26">
        <v>0.1638</v>
      </c>
      <c r="Z21" s="77" t="s">
        <v>103</v>
      </c>
      <c r="AA21" s="78">
        <v>30</v>
      </c>
      <c r="AB21" s="60"/>
      <c r="AC21" s="72"/>
      <c r="AD21" s="60"/>
      <c r="AE21" s="72"/>
      <c r="AF21" s="60"/>
      <c r="AG21" s="72"/>
      <c r="AH21" s="54"/>
      <c r="AI21" s="54"/>
      <c r="AJ21" s="54"/>
      <c r="AK21" s="54"/>
      <c r="AL21" s="54"/>
      <c r="AM21" s="54"/>
      <c r="AN21" s="54"/>
      <c r="AO21" s="10"/>
      <c r="AP21" s="10"/>
    </row>
    <row r="22" spans="1:42" s="6" customFormat="1" ht="15" customHeight="1">
      <c r="A22" s="10"/>
      <c r="B22" s="8">
        <v>17</v>
      </c>
      <c r="C22" s="4">
        <v>1</v>
      </c>
      <c r="D22" s="5" t="s">
        <v>79</v>
      </c>
      <c r="E22" s="17"/>
      <c r="F22" s="153">
        <v>0.19</v>
      </c>
      <c r="G22" s="27" t="s">
        <v>55</v>
      </c>
      <c r="H22" s="19">
        <v>30</v>
      </c>
      <c r="I22" s="20">
        <v>0.39140000000000003</v>
      </c>
      <c r="J22" s="28">
        <v>100</v>
      </c>
      <c r="K22" s="20">
        <v>0.37230000000000002</v>
      </c>
      <c r="L22" s="29">
        <v>1000</v>
      </c>
      <c r="M22" s="20">
        <v>0.3523</v>
      </c>
      <c r="N22" s="30">
        <f t="shared" si="0"/>
        <v>1000</v>
      </c>
      <c r="O22" s="26">
        <v>0.29370000000000002</v>
      </c>
      <c r="P22" s="30"/>
      <c r="Q22" s="26">
        <v>0.2843</v>
      </c>
      <c r="R22" s="60"/>
      <c r="S22" s="61"/>
      <c r="T22" s="61"/>
      <c r="U22" s="62"/>
      <c r="V22" s="53"/>
      <c r="W22" s="26">
        <v>0.1638</v>
      </c>
      <c r="X22" s="53"/>
      <c r="Y22" s="26">
        <v>0.1638</v>
      </c>
      <c r="Z22" s="77" t="s">
        <v>103</v>
      </c>
      <c r="AA22" s="78">
        <v>30</v>
      </c>
      <c r="AB22" s="60"/>
      <c r="AC22" s="72"/>
      <c r="AD22" s="60"/>
      <c r="AE22" s="72"/>
      <c r="AF22" s="60"/>
      <c r="AG22" s="72"/>
      <c r="AH22" s="54"/>
      <c r="AI22" s="54"/>
      <c r="AJ22" s="54"/>
      <c r="AK22" s="54"/>
      <c r="AL22" s="54"/>
      <c r="AM22" s="54"/>
      <c r="AN22" s="54"/>
      <c r="AO22" s="10"/>
      <c r="AP22" s="10"/>
    </row>
    <row r="23" spans="1:42" s="6" customFormat="1" ht="15" customHeight="1">
      <c r="A23" s="10"/>
      <c r="B23" s="8">
        <v>18</v>
      </c>
      <c r="C23" s="4">
        <v>1</v>
      </c>
      <c r="D23" s="5" t="s">
        <v>80</v>
      </c>
      <c r="E23" s="17"/>
      <c r="F23" s="153">
        <v>0.19</v>
      </c>
      <c r="G23" s="27" t="s">
        <v>55</v>
      </c>
      <c r="H23" s="19">
        <v>30</v>
      </c>
      <c r="I23" s="20">
        <v>0.39140000000000003</v>
      </c>
      <c r="J23" s="28">
        <v>100</v>
      </c>
      <c r="K23" s="20">
        <v>0.37230000000000002</v>
      </c>
      <c r="L23" s="29">
        <v>1000</v>
      </c>
      <c r="M23" s="20">
        <v>0.3523</v>
      </c>
      <c r="N23" s="30">
        <f t="shared" si="0"/>
        <v>1000</v>
      </c>
      <c r="O23" s="26">
        <v>0.29370000000000002</v>
      </c>
      <c r="P23" s="30"/>
      <c r="Q23" s="26">
        <v>0.2843</v>
      </c>
      <c r="R23" s="60"/>
      <c r="S23" s="61"/>
      <c r="T23" s="61"/>
      <c r="U23" s="62"/>
      <c r="V23" s="53"/>
      <c r="W23" s="26">
        <v>0.1638</v>
      </c>
      <c r="X23" s="53"/>
      <c r="Y23" s="26">
        <v>0.1638</v>
      </c>
      <c r="Z23" s="77" t="s">
        <v>103</v>
      </c>
      <c r="AA23" s="78">
        <v>30</v>
      </c>
      <c r="AB23" s="60"/>
      <c r="AC23" s="72"/>
      <c r="AD23" s="60"/>
      <c r="AE23" s="72"/>
      <c r="AF23" s="60"/>
      <c r="AG23" s="72"/>
      <c r="AH23" s="54"/>
      <c r="AI23" s="54"/>
      <c r="AJ23" s="54"/>
      <c r="AK23" s="54"/>
      <c r="AL23" s="54"/>
      <c r="AM23" s="54"/>
      <c r="AN23" s="54"/>
      <c r="AO23" s="10"/>
      <c r="AP23" s="10"/>
    </row>
    <row r="24" spans="1:42" s="6" customFormat="1" ht="15" customHeight="1">
      <c r="A24" s="10"/>
      <c r="B24" s="8">
        <v>19</v>
      </c>
      <c r="C24" s="4">
        <v>2</v>
      </c>
      <c r="D24" s="5" t="s">
        <v>81</v>
      </c>
      <c r="E24" s="17"/>
      <c r="F24" s="153">
        <v>0.19</v>
      </c>
      <c r="G24" s="27" t="s">
        <v>55</v>
      </c>
      <c r="H24" s="19">
        <v>30</v>
      </c>
      <c r="I24" s="20">
        <v>0.34050000000000002</v>
      </c>
      <c r="J24" s="28">
        <v>100</v>
      </c>
      <c r="K24" s="20">
        <v>0.32390000000000002</v>
      </c>
      <c r="L24" s="29">
        <v>1000</v>
      </c>
      <c r="M24" s="20">
        <v>0.30649999999999999</v>
      </c>
      <c r="N24" s="30">
        <f t="shared" si="0"/>
        <v>1000</v>
      </c>
      <c r="O24" s="26">
        <v>0.2555</v>
      </c>
      <c r="P24" s="30"/>
      <c r="Q24" s="26">
        <v>0.25019999999999998</v>
      </c>
      <c r="R24" s="60"/>
      <c r="S24" s="61"/>
      <c r="T24" s="61"/>
      <c r="U24" s="62"/>
      <c r="V24" s="53"/>
      <c r="W24" s="26">
        <v>0.1638</v>
      </c>
      <c r="X24" s="53"/>
      <c r="Y24" s="26">
        <v>0.12</v>
      </c>
      <c r="Z24" s="77" t="s">
        <v>103</v>
      </c>
      <c r="AA24" s="78">
        <v>500</v>
      </c>
      <c r="AB24" s="60"/>
      <c r="AC24" s="72"/>
      <c r="AD24" s="60"/>
      <c r="AE24" s="72"/>
      <c r="AF24" s="60"/>
      <c r="AG24" s="72"/>
      <c r="AH24" s="54"/>
      <c r="AI24" s="54"/>
      <c r="AJ24" s="54"/>
      <c r="AK24" s="54"/>
      <c r="AL24" s="54"/>
      <c r="AM24" s="54"/>
      <c r="AN24" s="54"/>
      <c r="AO24" s="10"/>
      <c r="AP24" s="10"/>
    </row>
    <row r="25" spans="1:42" s="6" customFormat="1" ht="15" customHeight="1">
      <c r="A25" s="10"/>
      <c r="B25" s="8">
        <v>20</v>
      </c>
      <c r="C25" s="4">
        <v>2</v>
      </c>
      <c r="D25" s="5" t="s">
        <v>82</v>
      </c>
      <c r="E25" s="17"/>
      <c r="F25" s="153">
        <v>0.19</v>
      </c>
      <c r="G25" s="27" t="s">
        <v>55</v>
      </c>
      <c r="H25" s="19">
        <v>30</v>
      </c>
      <c r="I25" s="20">
        <v>0.34050000000000002</v>
      </c>
      <c r="J25" s="28">
        <v>100</v>
      </c>
      <c r="K25" s="20">
        <v>0.32390000000000002</v>
      </c>
      <c r="L25" s="29">
        <v>1000</v>
      </c>
      <c r="M25" s="20">
        <v>0.30649999999999999</v>
      </c>
      <c r="N25" s="30">
        <f t="shared" si="0"/>
        <v>1000</v>
      </c>
      <c r="O25" s="26">
        <v>0.2555</v>
      </c>
      <c r="P25" s="30"/>
      <c r="Q25" s="26">
        <v>0.25019999999999998</v>
      </c>
      <c r="R25" s="60"/>
      <c r="S25" s="61"/>
      <c r="T25" s="61"/>
      <c r="U25" s="62"/>
      <c r="V25" s="53"/>
      <c r="W25" s="26">
        <v>0.1638</v>
      </c>
      <c r="X25" s="53"/>
      <c r="Y25" s="26">
        <v>0.12</v>
      </c>
      <c r="Z25" s="77" t="s">
        <v>103</v>
      </c>
      <c r="AA25" s="78">
        <v>500</v>
      </c>
      <c r="AB25" s="60"/>
      <c r="AC25" s="72"/>
      <c r="AD25" s="60"/>
      <c r="AE25" s="72"/>
      <c r="AF25" s="60"/>
      <c r="AG25" s="72"/>
      <c r="AH25" s="54"/>
      <c r="AI25" s="54"/>
      <c r="AJ25" s="54"/>
      <c r="AK25" s="54"/>
      <c r="AL25" s="54"/>
      <c r="AM25" s="54"/>
      <c r="AN25" s="54"/>
      <c r="AO25" s="10"/>
      <c r="AP25" s="10"/>
    </row>
    <row r="26" spans="1:42" s="6" customFormat="1" ht="15" customHeight="1">
      <c r="A26" s="10"/>
      <c r="B26" s="8">
        <v>21</v>
      </c>
      <c r="C26" s="4">
        <v>2</v>
      </c>
      <c r="D26" s="5" t="s">
        <v>83</v>
      </c>
      <c r="E26" s="17"/>
      <c r="F26" s="153">
        <v>0.19</v>
      </c>
      <c r="G26" s="27" t="s">
        <v>55</v>
      </c>
      <c r="H26" s="19">
        <v>30</v>
      </c>
      <c r="I26" s="20">
        <v>0.34050000000000002</v>
      </c>
      <c r="J26" s="28">
        <v>100</v>
      </c>
      <c r="K26" s="20">
        <v>0.32390000000000002</v>
      </c>
      <c r="L26" s="29">
        <v>1000</v>
      </c>
      <c r="M26" s="20">
        <v>0.30649999999999999</v>
      </c>
      <c r="N26" s="30">
        <f t="shared" si="0"/>
        <v>1000</v>
      </c>
      <c r="O26" s="26">
        <v>0.2555</v>
      </c>
      <c r="P26" s="30"/>
      <c r="Q26" s="26">
        <v>0.25019999999999998</v>
      </c>
      <c r="R26" s="60"/>
      <c r="S26" s="61"/>
      <c r="T26" s="61"/>
      <c r="U26" s="62"/>
      <c r="V26" s="53"/>
      <c r="W26" s="26">
        <v>0.1638</v>
      </c>
      <c r="X26" s="53"/>
      <c r="Y26" s="26">
        <v>0.12</v>
      </c>
      <c r="Z26" s="77" t="s">
        <v>103</v>
      </c>
      <c r="AA26" s="78">
        <v>500</v>
      </c>
      <c r="AB26" s="60"/>
      <c r="AC26" s="72"/>
      <c r="AD26" s="60"/>
      <c r="AE26" s="72"/>
      <c r="AF26" s="60"/>
      <c r="AG26" s="72"/>
      <c r="AH26" s="54"/>
      <c r="AI26" s="54"/>
      <c r="AJ26" s="54"/>
      <c r="AK26" s="54"/>
      <c r="AL26" s="54"/>
      <c r="AM26" s="54"/>
      <c r="AN26" s="54"/>
      <c r="AO26" s="10"/>
      <c r="AP26" s="10"/>
    </row>
    <row r="27" spans="1:42" s="6" customFormat="1" ht="15" customHeight="1">
      <c r="A27" s="10"/>
      <c r="B27" s="8">
        <v>22</v>
      </c>
      <c r="C27" s="4">
        <v>2</v>
      </c>
      <c r="D27" s="5" t="s">
        <v>84</v>
      </c>
      <c r="E27" s="17"/>
      <c r="F27" s="153">
        <v>0.19</v>
      </c>
      <c r="G27" s="27" t="s">
        <v>55</v>
      </c>
      <c r="H27" s="19">
        <v>30</v>
      </c>
      <c r="I27" s="20">
        <v>0.33029999999999998</v>
      </c>
      <c r="J27" s="28">
        <v>100</v>
      </c>
      <c r="K27" s="20">
        <v>0.31240000000000001</v>
      </c>
      <c r="L27" s="29">
        <v>1000</v>
      </c>
      <c r="M27" s="20">
        <v>0.29430000000000001</v>
      </c>
      <c r="N27" s="30">
        <f t="shared" si="0"/>
        <v>1000</v>
      </c>
      <c r="O27" s="26">
        <v>0.24779999999999999</v>
      </c>
      <c r="P27" s="30"/>
      <c r="Q27" s="26">
        <v>0.2427</v>
      </c>
      <c r="R27" s="60"/>
      <c r="S27" s="61"/>
      <c r="T27" s="61"/>
      <c r="U27" s="62"/>
      <c r="V27" s="53"/>
      <c r="W27" s="26">
        <v>0.1638</v>
      </c>
      <c r="X27" s="53"/>
      <c r="Y27" s="26">
        <v>0.12</v>
      </c>
      <c r="Z27" s="77" t="s">
        <v>103</v>
      </c>
      <c r="AA27" s="78">
        <v>500</v>
      </c>
      <c r="AB27" s="60"/>
      <c r="AC27" s="72"/>
      <c r="AD27" s="60"/>
      <c r="AE27" s="72"/>
      <c r="AF27" s="60"/>
      <c r="AG27" s="72"/>
      <c r="AH27" s="54"/>
      <c r="AI27" s="54"/>
      <c r="AJ27" s="54"/>
      <c r="AK27" s="54"/>
      <c r="AL27" s="54"/>
      <c r="AM27" s="54"/>
      <c r="AN27" s="54"/>
      <c r="AO27" s="10"/>
      <c r="AP27" s="10"/>
    </row>
    <row r="28" spans="1:42" s="6" customFormat="1" ht="15" customHeight="1">
      <c r="A28" s="10"/>
      <c r="B28" s="8">
        <v>23</v>
      </c>
      <c r="C28" s="4">
        <v>2</v>
      </c>
      <c r="D28" s="5" t="s">
        <v>85</v>
      </c>
      <c r="E28" s="17"/>
      <c r="F28" s="153">
        <v>0.19</v>
      </c>
      <c r="G28" s="27" t="s">
        <v>55</v>
      </c>
      <c r="H28" s="19">
        <v>30</v>
      </c>
      <c r="I28" s="20">
        <v>0.33029999999999998</v>
      </c>
      <c r="J28" s="28">
        <v>100</v>
      </c>
      <c r="K28" s="20">
        <v>0.31240000000000001</v>
      </c>
      <c r="L28" s="29">
        <v>1000</v>
      </c>
      <c r="M28" s="20">
        <v>0.29430000000000001</v>
      </c>
      <c r="N28" s="30">
        <f t="shared" si="0"/>
        <v>1000</v>
      </c>
      <c r="O28" s="26">
        <v>0.24779999999999999</v>
      </c>
      <c r="P28" s="30"/>
      <c r="Q28" s="26">
        <v>0.2427</v>
      </c>
      <c r="R28" s="60"/>
      <c r="S28" s="61"/>
      <c r="T28" s="61"/>
      <c r="U28" s="62"/>
      <c r="V28" s="53"/>
      <c r="W28" s="26">
        <v>0.1638</v>
      </c>
      <c r="X28" s="53"/>
      <c r="Y28" s="26">
        <v>0.12</v>
      </c>
      <c r="Z28" s="77" t="s">
        <v>103</v>
      </c>
      <c r="AA28" s="78">
        <v>500</v>
      </c>
      <c r="AB28" s="60"/>
      <c r="AC28" s="72"/>
      <c r="AD28" s="60"/>
      <c r="AE28" s="72"/>
      <c r="AF28" s="60"/>
      <c r="AG28" s="72"/>
      <c r="AH28" s="54"/>
      <c r="AI28" s="54"/>
      <c r="AJ28" s="54"/>
      <c r="AK28" s="54"/>
      <c r="AL28" s="54"/>
      <c r="AM28" s="54"/>
      <c r="AN28" s="54"/>
      <c r="AO28" s="10"/>
      <c r="AP28" s="10"/>
    </row>
    <row r="29" spans="1:42" s="6" customFormat="1" ht="15" customHeight="1">
      <c r="A29" s="10"/>
      <c r="B29" s="8">
        <v>24</v>
      </c>
      <c r="C29" s="4">
        <v>2</v>
      </c>
      <c r="D29" s="5" t="s">
        <v>86</v>
      </c>
      <c r="E29" s="17"/>
      <c r="F29" s="153">
        <v>0.19</v>
      </c>
      <c r="G29" s="27" t="s">
        <v>55</v>
      </c>
      <c r="H29" s="19">
        <v>30</v>
      </c>
      <c r="I29" s="20">
        <v>0.33029999999999998</v>
      </c>
      <c r="J29" s="28">
        <v>100</v>
      </c>
      <c r="K29" s="20">
        <v>0.31240000000000001</v>
      </c>
      <c r="L29" s="29">
        <v>1000</v>
      </c>
      <c r="M29" s="20">
        <v>0.29430000000000001</v>
      </c>
      <c r="N29" s="30">
        <f t="shared" si="0"/>
        <v>1000</v>
      </c>
      <c r="O29" s="26">
        <v>0.24779999999999999</v>
      </c>
      <c r="P29" s="30"/>
      <c r="Q29" s="26">
        <v>0.2427</v>
      </c>
      <c r="R29" s="60"/>
      <c r="S29" s="61"/>
      <c r="T29" s="61"/>
      <c r="U29" s="62"/>
      <c r="V29" s="53"/>
      <c r="W29" s="26">
        <v>0.1638</v>
      </c>
      <c r="X29" s="53"/>
      <c r="Y29" s="26">
        <v>0.12</v>
      </c>
      <c r="Z29" s="77" t="s">
        <v>103</v>
      </c>
      <c r="AA29" s="78">
        <v>500</v>
      </c>
      <c r="AB29" s="60"/>
      <c r="AC29" s="72"/>
      <c r="AD29" s="60"/>
      <c r="AE29" s="72"/>
      <c r="AF29" s="60"/>
      <c r="AG29" s="72"/>
      <c r="AH29" s="54"/>
      <c r="AI29" s="54"/>
      <c r="AJ29" s="54"/>
      <c r="AK29" s="54"/>
      <c r="AL29" s="54"/>
      <c r="AM29" s="54"/>
      <c r="AN29" s="54"/>
      <c r="AO29" s="10"/>
      <c r="AP29" s="10"/>
    </row>
    <row r="30" spans="1:42" s="6" customFormat="1" ht="15" customHeight="1">
      <c r="A30" s="10"/>
      <c r="B30" s="8">
        <v>25</v>
      </c>
      <c r="C30" s="4">
        <v>2</v>
      </c>
      <c r="D30" s="5" t="s">
        <v>63</v>
      </c>
      <c r="E30" s="17"/>
      <c r="F30" s="153">
        <v>0.19</v>
      </c>
      <c r="G30" s="27" t="s">
        <v>55</v>
      </c>
      <c r="H30" s="19">
        <v>30</v>
      </c>
      <c r="I30" s="20">
        <v>0.28739999999999999</v>
      </c>
      <c r="J30" s="28">
        <v>100</v>
      </c>
      <c r="K30" s="20">
        <v>0.27329999999999999</v>
      </c>
      <c r="L30" s="29">
        <v>1000</v>
      </c>
      <c r="M30" s="20">
        <v>0.25869999999999999</v>
      </c>
      <c r="N30" s="30">
        <f t="shared" si="0"/>
        <v>1000</v>
      </c>
      <c r="O30" s="26">
        <v>0.21560000000000001</v>
      </c>
      <c r="P30" s="30"/>
      <c r="Q30" s="26">
        <v>0.21110000000000001</v>
      </c>
      <c r="R30" s="60"/>
      <c r="S30" s="61"/>
      <c r="T30" s="61"/>
      <c r="U30" s="62"/>
      <c r="V30" s="53"/>
      <c r="W30" s="26">
        <v>0.1638</v>
      </c>
      <c r="X30" s="53"/>
      <c r="Y30" s="26">
        <v>0.12</v>
      </c>
      <c r="Z30" s="77" t="s">
        <v>103</v>
      </c>
      <c r="AA30" s="78">
        <v>500</v>
      </c>
      <c r="AB30" s="60"/>
      <c r="AC30" s="72"/>
      <c r="AD30" s="60"/>
      <c r="AE30" s="72"/>
      <c r="AF30" s="60"/>
      <c r="AG30" s="72"/>
      <c r="AH30" s="54"/>
      <c r="AI30" s="54"/>
      <c r="AJ30" s="54"/>
      <c r="AK30" s="54"/>
      <c r="AL30" s="54"/>
      <c r="AM30" s="54"/>
      <c r="AN30" s="54"/>
      <c r="AO30" s="10"/>
      <c r="AP30" s="10"/>
    </row>
    <row r="31" spans="1:42" s="6" customFormat="1" ht="15" customHeight="1">
      <c r="A31" s="10"/>
      <c r="B31" s="8">
        <v>26</v>
      </c>
      <c r="C31" s="4">
        <v>2</v>
      </c>
      <c r="D31" s="5" t="s">
        <v>64</v>
      </c>
      <c r="E31" s="17"/>
      <c r="F31" s="153">
        <v>0.19</v>
      </c>
      <c r="G31" s="27" t="s">
        <v>55</v>
      </c>
      <c r="H31" s="19">
        <v>30</v>
      </c>
      <c r="I31" s="20">
        <v>0.28739999999999999</v>
      </c>
      <c r="J31" s="28">
        <v>100</v>
      </c>
      <c r="K31" s="20">
        <v>0.27329999999999999</v>
      </c>
      <c r="L31" s="29">
        <v>1000</v>
      </c>
      <c r="M31" s="20">
        <v>0.25869999999999999</v>
      </c>
      <c r="N31" s="30">
        <f t="shared" si="0"/>
        <v>1000</v>
      </c>
      <c r="O31" s="26">
        <v>0.21560000000000001</v>
      </c>
      <c r="P31" s="30"/>
      <c r="Q31" s="26">
        <v>0.21110000000000001</v>
      </c>
      <c r="R31" s="60"/>
      <c r="S31" s="61"/>
      <c r="T31" s="61"/>
      <c r="U31" s="62"/>
      <c r="V31" s="53"/>
      <c r="W31" s="26">
        <v>0.1638</v>
      </c>
      <c r="X31" s="53"/>
      <c r="Y31" s="26">
        <v>0.12</v>
      </c>
      <c r="Z31" s="77" t="s">
        <v>103</v>
      </c>
      <c r="AA31" s="78">
        <v>500</v>
      </c>
      <c r="AB31" s="60"/>
      <c r="AC31" s="72"/>
      <c r="AD31" s="60"/>
      <c r="AE31" s="72"/>
      <c r="AF31" s="60"/>
      <c r="AG31" s="72"/>
      <c r="AH31" s="54"/>
      <c r="AI31" s="54"/>
      <c r="AJ31" s="54"/>
      <c r="AK31" s="54"/>
      <c r="AL31" s="54"/>
      <c r="AM31" s="54"/>
      <c r="AN31" s="54"/>
      <c r="AO31" s="10"/>
      <c r="AP31" s="10"/>
    </row>
    <row r="32" spans="1:42" s="6" customFormat="1" ht="15" customHeight="1">
      <c r="A32" s="10"/>
      <c r="B32" s="8">
        <v>27</v>
      </c>
      <c r="C32" s="4">
        <v>2</v>
      </c>
      <c r="D32" s="5" t="s">
        <v>65</v>
      </c>
      <c r="E32" s="17"/>
      <c r="F32" s="153">
        <v>0.19</v>
      </c>
      <c r="G32" s="27" t="s">
        <v>55</v>
      </c>
      <c r="H32" s="19">
        <v>30</v>
      </c>
      <c r="I32" s="20">
        <v>0.28739999999999999</v>
      </c>
      <c r="J32" s="28">
        <v>100</v>
      </c>
      <c r="K32" s="20">
        <v>0.27329999999999999</v>
      </c>
      <c r="L32" s="29">
        <v>1000</v>
      </c>
      <c r="M32" s="20">
        <v>0.25869999999999999</v>
      </c>
      <c r="N32" s="30">
        <f t="shared" si="0"/>
        <v>1000</v>
      </c>
      <c r="O32" s="26">
        <v>0.21560000000000001</v>
      </c>
      <c r="P32" s="30"/>
      <c r="Q32" s="26">
        <v>0.21110000000000001</v>
      </c>
      <c r="R32" s="60"/>
      <c r="S32" s="61"/>
      <c r="T32" s="61"/>
      <c r="U32" s="62"/>
      <c r="V32" s="53"/>
      <c r="W32" s="26">
        <v>0.1638</v>
      </c>
      <c r="X32" s="53"/>
      <c r="Y32" s="26">
        <v>0.12</v>
      </c>
      <c r="Z32" s="77" t="s">
        <v>103</v>
      </c>
      <c r="AA32" s="78">
        <v>500</v>
      </c>
      <c r="AB32" s="60"/>
      <c r="AC32" s="72"/>
      <c r="AD32" s="60"/>
      <c r="AE32" s="72"/>
      <c r="AF32" s="60"/>
      <c r="AG32" s="72"/>
      <c r="AH32" s="54"/>
      <c r="AI32" s="54"/>
      <c r="AJ32" s="54"/>
      <c r="AK32" s="54"/>
      <c r="AL32" s="54"/>
      <c r="AM32" s="54"/>
      <c r="AN32" s="54"/>
      <c r="AO32" s="10"/>
      <c r="AP32" s="10"/>
    </row>
    <row r="33" spans="1:42" s="6" customFormat="1" ht="15" customHeight="1">
      <c r="A33" s="10"/>
      <c r="B33" s="8">
        <v>28</v>
      </c>
      <c r="C33" s="4">
        <v>2</v>
      </c>
      <c r="D33" s="5" t="s">
        <v>66</v>
      </c>
      <c r="E33" s="17"/>
      <c r="F33" s="153">
        <v>0.19</v>
      </c>
      <c r="G33" s="27" t="s">
        <v>55</v>
      </c>
      <c r="H33" s="19">
        <v>30</v>
      </c>
      <c r="I33" s="20">
        <v>0.28739999999999999</v>
      </c>
      <c r="J33" s="28">
        <v>100</v>
      </c>
      <c r="K33" s="20">
        <v>0.27329999999999999</v>
      </c>
      <c r="L33" s="29">
        <v>1000</v>
      </c>
      <c r="M33" s="20">
        <v>0.25869999999999999</v>
      </c>
      <c r="N33" s="30">
        <f t="shared" si="0"/>
        <v>1000</v>
      </c>
      <c r="O33" s="26">
        <v>0.21560000000000001</v>
      </c>
      <c r="P33" s="30"/>
      <c r="Q33" s="26">
        <v>0.21110000000000001</v>
      </c>
      <c r="R33" s="60"/>
      <c r="S33" s="61"/>
      <c r="T33" s="61"/>
      <c r="U33" s="62"/>
      <c r="V33" s="53"/>
      <c r="W33" s="26">
        <v>0.1638</v>
      </c>
      <c r="X33" s="53"/>
      <c r="Y33" s="26">
        <v>0.12</v>
      </c>
      <c r="Z33" s="77" t="s">
        <v>103</v>
      </c>
      <c r="AA33" s="78">
        <v>500</v>
      </c>
      <c r="AB33" s="60"/>
      <c r="AC33" s="72"/>
      <c r="AD33" s="60"/>
      <c r="AE33" s="72"/>
      <c r="AF33" s="60"/>
      <c r="AG33" s="72"/>
      <c r="AH33" s="54"/>
      <c r="AI33" s="54"/>
      <c r="AJ33" s="54"/>
      <c r="AK33" s="54"/>
      <c r="AL33" s="54"/>
      <c r="AM33" s="54"/>
      <c r="AN33" s="54"/>
      <c r="AO33" s="10"/>
      <c r="AP33" s="10"/>
    </row>
    <row r="34" spans="1:42" s="6" customFormat="1" ht="15" customHeight="1">
      <c r="A34" s="10"/>
      <c r="B34" s="8">
        <v>29</v>
      </c>
      <c r="C34" s="4">
        <v>2</v>
      </c>
      <c r="D34" s="5" t="s">
        <v>67</v>
      </c>
      <c r="E34" s="17"/>
      <c r="F34" s="153">
        <v>0.19</v>
      </c>
      <c r="G34" s="27" t="s">
        <v>55</v>
      </c>
      <c r="H34" s="19">
        <v>30</v>
      </c>
      <c r="I34" s="20">
        <v>0.28739999999999999</v>
      </c>
      <c r="J34" s="28">
        <v>100</v>
      </c>
      <c r="K34" s="20">
        <v>0.27329999999999999</v>
      </c>
      <c r="L34" s="29">
        <v>1000</v>
      </c>
      <c r="M34" s="20">
        <v>0.25869999999999999</v>
      </c>
      <c r="N34" s="30">
        <f t="shared" si="0"/>
        <v>1000</v>
      </c>
      <c r="O34" s="26">
        <v>0.21560000000000001</v>
      </c>
      <c r="P34" s="30"/>
      <c r="Q34" s="26">
        <v>0.21110000000000001</v>
      </c>
      <c r="R34" s="60"/>
      <c r="S34" s="61"/>
      <c r="T34" s="61"/>
      <c r="U34" s="62"/>
      <c r="V34" s="53"/>
      <c r="W34" s="26">
        <v>0.1638</v>
      </c>
      <c r="X34" s="53"/>
      <c r="Y34" s="26">
        <v>0.12</v>
      </c>
      <c r="Z34" s="77" t="s">
        <v>103</v>
      </c>
      <c r="AA34" s="78">
        <v>500</v>
      </c>
      <c r="AB34" s="60"/>
      <c r="AC34" s="72"/>
      <c r="AD34" s="60"/>
      <c r="AE34" s="72"/>
      <c r="AF34" s="60"/>
      <c r="AG34" s="72"/>
      <c r="AH34" s="54"/>
      <c r="AI34" s="54"/>
      <c r="AJ34" s="54"/>
      <c r="AK34" s="54"/>
      <c r="AL34" s="54"/>
      <c r="AM34" s="54"/>
      <c r="AN34" s="54"/>
      <c r="AO34" s="10"/>
      <c r="AP34" s="10"/>
    </row>
    <row r="35" spans="1:42" s="6" customFormat="1" ht="15" customHeight="1">
      <c r="A35" s="10"/>
      <c r="B35" s="8">
        <v>30</v>
      </c>
      <c r="C35" s="4">
        <v>2</v>
      </c>
      <c r="D35" s="5" t="s">
        <v>68</v>
      </c>
      <c r="E35" s="17"/>
      <c r="F35" s="153">
        <v>0.19</v>
      </c>
      <c r="G35" s="27" t="s">
        <v>55</v>
      </c>
      <c r="H35" s="19">
        <v>30</v>
      </c>
      <c r="I35" s="20">
        <v>0.28739999999999999</v>
      </c>
      <c r="J35" s="28">
        <v>100</v>
      </c>
      <c r="K35" s="20">
        <v>0.27329999999999999</v>
      </c>
      <c r="L35" s="29">
        <v>1000</v>
      </c>
      <c r="M35" s="20">
        <v>0.25869999999999999</v>
      </c>
      <c r="N35" s="30">
        <f t="shared" si="0"/>
        <v>1000</v>
      </c>
      <c r="O35" s="26">
        <v>0.21560000000000001</v>
      </c>
      <c r="P35" s="30"/>
      <c r="Q35" s="26">
        <v>0.21110000000000001</v>
      </c>
      <c r="R35" s="60"/>
      <c r="S35" s="61"/>
      <c r="T35" s="61"/>
      <c r="U35" s="62"/>
      <c r="V35" s="53"/>
      <c r="W35" s="26">
        <v>0.1638</v>
      </c>
      <c r="X35" s="53"/>
      <c r="Y35" s="26">
        <v>0.12</v>
      </c>
      <c r="Z35" s="77" t="s">
        <v>103</v>
      </c>
      <c r="AA35" s="78">
        <v>500</v>
      </c>
      <c r="AB35" s="60"/>
      <c r="AC35" s="72"/>
      <c r="AD35" s="60"/>
      <c r="AE35" s="72"/>
      <c r="AF35" s="60"/>
      <c r="AG35" s="72"/>
      <c r="AH35" s="54"/>
      <c r="AI35" s="54"/>
      <c r="AJ35" s="54"/>
      <c r="AK35" s="54"/>
      <c r="AL35" s="54"/>
      <c r="AM35" s="54"/>
      <c r="AN35" s="54"/>
      <c r="AO35" s="10"/>
      <c r="AP35" s="10"/>
    </row>
    <row r="36" spans="1:42" s="6" customFormat="1" ht="15" customHeight="1">
      <c r="A36" s="10"/>
      <c r="B36" s="8">
        <v>31</v>
      </c>
      <c r="C36" s="4">
        <v>2</v>
      </c>
      <c r="D36" s="5" t="s">
        <v>69</v>
      </c>
      <c r="E36" s="17"/>
      <c r="F36" s="153">
        <v>0.19</v>
      </c>
      <c r="G36" s="27" t="s">
        <v>55</v>
      </c>
      <c r="H36" s="19">
        <v>30</v>
      </c>
      <c r="I36" s="20">
        <v>0.28739999999999999</v>
      </c>
      <c r="J36" s="28">
        <v>100</v>
      </c>
      <c r="K36" s="20">
        <v>0.27329999999999999</v>
      </c>
      <c r="L36" s="29">
        <v>1000</v>
      </c>
      <c r="M36" s="20">
        <v>0.25869999999999999</v>
      </c>
      <c r="N36" s="30">
        <f t="shared" si="0"/>
        <v>1000</v>
      </c>
      <c r="O36" s="26">
        <v>0.21560000000000001</v>
      </c>
      <c r="P36" s="30"/>
      <c r="Q36" s="26">
        <v>0.21110000000000001</v>
      </c>
      <c r="R36" s="60"/>
      <c r="S36" s="61"/>
      <c r="T36" s="61"/>
      <c r="U36" s="62"/>
      <c r="V36" s="53"/>
      <c r="W36" s="26">
        <v>0.1638</v>
      </c>
      <c r="X36" s="53"/>
      <c r="Y36" s="26">
        <v>0.12</v>
      </c>
      <c r="Z36" s="77" t="s">
        <v>103</v>
      </c>
      <c r="AA36" s="78">
        <v>500</v>
      </c>
      <c r="AB36" s="60"/>
      <c r="AC36" s="72"/>
      <c r="AD36" s="60"/>
      <c r="AE36" s="72"/>
      <c r="AF36" s="60"/>
      <c r="AG36" s="72"/>
      <c r="AH36" s="54"/>
      <c r="AI36" s="54"/>
      <c r="AJ36" s="54"/>
      <c r="AK36" s="54"/>
      <c r="AL36" s="54"/>
      <c r="AM36" s="54"/>
      <c r="AN36" s="54"/>
      <c r="AO36" s="10"/>
      <c r="AP36" s="10"/>
    </row>
    <row r="37" spans="1:42" s="6" customFormat="1" ht="15" customHeight="1">
      <c r="A37" s="10"/>
      <c r="B37" s="8">
        <v>32</v>
      </c>
      <c r="C37" s="4">
        <v>2</v>
      </c>
      <c r="D37" s="5" t="s">
        <v>70</v>
      </c>
      <c r="E37" s="17"/>
      <c r="F37" s="153">
        <v>0.19</v>
      </c>
      <c r="G37" s="27" t="s">
        <v>55</v>
      </c>
      <c r="H37" s="19">
        <v>30</v>
      </c>
      <c r="I37" s="20">
        <v>0.28739999999999999</v>
      </c>
      <c r="J37" s="28">
        <v>100</v>
      </c>
      <c r="K37" s="20">
        <v>0.27329999999999999</v>
      </c>
      <c r="L37" s="29">
        <v>1000</v>
      </c>
      <c r="M37" s="20">
        <v>0.25869999999999999</v>
      </c>
      <c r="N37" s="30">
        <f t="shared" si="0"/>
        <v>1000</v>
      </c>
      <c r="O37" s="26">
        <v>0.21560000000000001</v>
      </c>
      <c r="P37" s="30"/>
      <c r="Q37" s="26">
        <v>0.21110000000000001</v>
      </c>
      <c r="R37" s="60"/>
      <c r="S37" s="61"/>
      <c r="T37" s="61"/>
      <c r="U37" s="62"/>
      <c r="V37" s="53"/>
      <c r="W37" s="26">
        <v>0.1638</v>
      </c>
      <c r="X37" s="53"/>
      <c r="Y37" s="26">
        <v>0.12</v>
      </c>
      <c r="Z37" s="77" t="s">
        <v>103</v>
      </c>
      <c r="AA37" s="78">
        <v>500</v>
      </c>
      <c r="AB37" s="60"/>
      <c r="AC37" s="72"/>
      <c r="AD37" s="60"/>
      <c r="AE37" s="72"/>
      <c r="AF37" s="60"/>
      <c r="AG37" s="72"/>
      <c r="AH37" s="54"/>
      <c r="AI37" s="54"/>
      <c r="AJ37" s="54"/>
      <c r="AK37" s="54"/>
      <c r="AL37" s="54"/>
      <c r="AM37" s="54"/>
      <c r="AN37" s="54"/>
      <c r="AO37" s="10"/>
      <c r="AP37" s="10"/>
    </row>
    <row r="38" spans="1:42" s="6" customFormat="1" ht="15" customHeight="1">
      <c r="A38" s="10"/>
      <c r="B38" s="8">
        <v>33</v>
      </c>
      <c r="C38" s="4">
        <v>2</v>
      </c>
      <c r="D38" s="5" t="s">
        <v>71</v>
      </c>
      <c r="E38" s="17"/>
      <c r="F38" s="153">
        <v>0.19</v>
      </c>
      <c r="G38" s="27" t="s">
        <v>55</v>
      </c>
      <c r="H38" s="19">
        <v>30</v>
      </c>
      <c r="I38" s="20">
        <v>0.28739999999999999</v>
      </c>
      <c r="J38" s="28">
        <v>100</v>
      </c>
      <c r="K38" s="20">
        <v>0.27329999999999999</v>
      </c>
      <c r="L38" s="29">
        <v>1000</v>
      </c>
      <c r="M38" s="20">
        <v>0.25869999999999999</v>
      </c>
      <c r="N38" s="30">
        <f t="shared" si="0"/>
        <v>1000</v>
      </c>
      <c r="O38" s="26">
        <v>0.21560000000000001</v>
      </c>
      <c r="P38" s="30"/>
      <c r="Q38" s="26">
        <v>0.21110000000000001</v>
      </c>
      <c r="R38" s="60"/>
      <c r="S38" s="61"/>
      <c r="T38" s="61"/>
      <c r="U38" s="62"/>
      <c r="V38" s="53"/>
      <c r="W38" s="26">
        <v>0.1638</v>
      </c>
      <c r="X38" s="53"/>
      <c r="Y38" s="26">
        <v>0.12</v>
      </c>
      <c r="Z38" s="77" t="s">
        <v>103</v>
      </c>
      <c r="AA38" s="78">
        <v>500</v>
      </c>
      <c r="AB38" s="60"/>
      <c r="AC38" s="72"/>
      <c r="AD38" s="60"/>
      <c r="AE38" s="72"/>
      <c r="AF38" s="60"/>
      <c r="AG38" s="72"/>
      <c r="AH38" s="54"/>
      <c r="AI38" s="54"/>
      <c r="AJ38" s="54"/>
      <c r="AK38" s="54"/>
      <c r="AL38" s="54"/>
      <c r="AM38" s="54"/>
      <c r="AN38" s="54"/>
      <c r="AO38" s="10"/>
      <c r="AP38" s="10"/>
    </row>
    <row r="39" spans="1:42" s="6" customFormat="1" ht="15" customHeight="1">
      <c r="A39" s="10"/>
      <c r="B39" s="8">
        <v>34</v>
      </c>
      <c r="C39" s="4">
        <v>2</v>
      </c>
      <c r="D39" s="5" t="s">
        <v>72</v>
      </c>
      <c r="E39" s="17"/>
      <c r="F39" s="153">
        <v>0.19</v>
      </c>
      <c r="G39" s="27" t="s">
        <v>55</v>
      </c>
      <c r="H39" s="19">
        <v>30</v>
      </c>
      <c r="I39" s="20">
        <v>0.28739999999999999</v>
      </c>
      <c r="J39" s="28">
        <v>100</v>
      </c>
      <c r="K39" s="20">
        <v>0.27329999999999999</v>
      </c>
      <c r="L39" s="29">
        <v>1000</v>
      </c>
      <c r="M39" s="20">
        <v>0.25869999999999999</v>
      </c>
      <c r="N39" s="30">
        <f t="shared" si="0"/>
        <v>1000</v>
      </c>
      <c r="O39" s="26">
        <v>0.21560000000000001</v>
      </c>
      <c r="P39" s="30"/>
      <c r="Q39" s="26">
        <v>0.21110000000000001</v>
      </c>
      <c r="R39" s="60"/>
      <c r="S39" s="61"/>
      <c r="T39" s="61"/>
      <c r="U39" s="62"/>
      <c r="V39" s="53"/>
      <c r="W39" s="26">
        <v>0.1638</v>
      </c>
      <c r="X39" s="53"/>
      <c r="Y39" s="26">
        <v>0.12</v>
      </c>
      <c r="Z39" s="77" t="s">
        <v>103</v>
      </c>
      <c r="AA39" s="78">
        <v>500</v>
      </c>
      <c r="AB39" s="60"/>
      <c r="AC39" s="72"/>
      <c r="AD39" s="60"/>
      <c r="AE39" s="72"/>
      <c r="AF39" s="60"/>
      <c r="AG39" s="72"/>
      <c r="AH39" s="54"/>
      <c r="AI39" s="54"/>
      <c r="AJ39" s="54"/>
      <c r="AK39" s="54"/>
      <c r="AL39" s="54"/>
      <c r="AM39" s="54"/>
      <c r="AN39" s="54"/>
      <c r="AO39" s="10"/>
      <c r="AP39" s="10"/>
    </row>
    <row r="40" spans="1:42" s="6" customFormat="1" ht="15" customHeight="1">
      <c r="A40" s="10"/>
      <c r="B40" s="8">
        <v>35</v>
      </c>
      <c r="C40" s="4">
        <v>2</v>
      </c>
      <c r="D40" s="5" t="s">
        <v>73</v>
      </c>
      <c r="E40" s="17"/>
      <c r="F40" s="153">
        <v>0.19</v>
      </c>
      <c r="G40" s="27" t="s">
        <v>55</v>
      </c>
      <c r="H40" s="19">
        <v>30</v>
      </c>
      <c r="I40" s="20">
        <v>0.28739999999999999</v>
      </c>
      <c r="J40" s="28">
        <v>100</v>
      </c>
      <c r="K40" s="20">
        <v>0.27329999999999999</v>
      </c>
      <c r="L40" s="29">
        <v>1000</v>
      </c>
      <c r="M40" s="20">
        <v>0.25869999999999999</v>
      </c>
      <c r="N40" s="30">
        <f t="shared" si="0"/>
        <v>1000</v>
      </c>
      <c r="O40" s="26">
        <v>0.21560000000000001</v>
      </c>
      <c r="P40" s="30"/>
      <c r="Q40" s="26">
        <v>0.21110000000000001</v>
      </c>
      <c r="R40" s="60"/>
      <c r="S40" s="61"/>
      <c r="T40" s="61"/>
      <c r="U40" s="62"/>
      <c r="V40" s="53"/>
      <c r="W40" s="26">
        <v>0.1638</v>
      </c>
      <c r="X40" s="53"/>
      <c r="Y40" s="26">
        <v>0.12</v>
      </c>
      <c r="Z40" s="77" t="s">
        <v>103</v>
      </c>
      <c r="AA40" s="78">
        <v>500</v>
      </c>
      <c r="AB40" s="60"/>
      <c r="AC40" s="72"/>
      <c r="AD40" s="60"/>
      <c r="AE40" s="72"/>
      <c r="AF40" s="60"/>
      <c r="AG40" s="72"/>
      <c r="AH40" s="54"/>
      <c r="AI40" s="54"/>
      <c r="AJ40" s="54"/>
      <c r="AK40" s="54"/>
      <c r="AL40" s="54"/>
      <c r="AM40" s="54"/>
      <c r="AN40" s="54"/>
      <c r="AO40" s="10"/>
      <c r="AP40" s="10"/>
    </row>
    <row r="41" spans="1:42" s="6" customFormat="1" ht="15" customHeight="1">
      <c r="A41" s="10"/>
      <c r="B41" s="8">
        <v>36</v>
      </c>
      <c r="C41" s="4">
        <v>2</v>
      </c>
      <c r="D41" s="5" t="s">
        <v>74</v>
      </c>
      <c r="E41" s="17"/>
      <c r="F41" s="153">
        <v>0.19</v>
      </c>
      <c r="G41" s="27" t="s">
        <v>55</v>
      </c>
      <c r="H41" s="19">
        <v>30</v>
      </c>
      <c r="I41" s="20">
        <v>0.28739999999999999</v>
      </c>
      <c r="J41" s="28">
        <v>100</v>
      </c>
      <c r="K41" s="20">
        <v>0.27329999999999999</v>
      </c>
      <c r="L41" s="29">
        <v>1000</v>
      </c>
      <c r="M41" s="20">
        <v>0.25869999999999999</v>
      </c>
      <c r="N41" s="30">
        <f t="shared" si="0"/>
        <v>1000</v>
      </c>
      <c r="O41" s="26">
        <v>0.21560000000000001</v>
      </c>
      <c r="P41" s="30"/>
      <c r="Q41" s="26">
        <v>0.21110000000000001</v>
      </c>
      <c r="R41" s="60"/>
      <c r="S41" s="61"/>
      <c r="T41" s="61"/>
      <c r="U41" s="62"/>
      <c r="V41" s="53"/>
      <c r="W41" s="26">
        <v>0.1638</v>
      </c>
      <c r="X41" s="53"/>
      <c r="Y41" s="26">
        <v>0.12</v>
      </c>
      <c r="Z41" s="77" t="s">
        <v>103</v>
      </c>
      <c r="AA41" s="78">
        <v>500</v>
      </c>
      <c r="AB41" s="60"/>
      <c r="AC41" s="72"/>
      <c r="AD41" s="60"/>
      <c r="AE41" s="72"/>
      <c r="AF41" s="60"/>
      <c r="AG41" s="72"/>
      <c r="AH41" s="54"/>
      <c r="AI41" s="54"/>
      <c r="AJ41" s="54"/>
      <c r="AK41" s="54"/>
      <c r="AL41" s="54"/>
      <c r="AM41" s="54"/>
      <c r="AN41" s="54"/>
      <c r="AO41" s="10"/>
      <c r="AP41" s="10"/>
    </row>
    <row r="42" spans="1:42" s="6" customFormat="1" ht="15" customHeight="1">
      <c r="A42" s="10"/>
      <c r="B42" s="8">
        <v>37</v>
      </c>
      <c r="C42" s="4">
        <v>2</v>
      </c>
      <c r="D42" s="5" t="s">
        <v>60</v>
      </c>
      <c r="E42" s="17"/>
      <c r="F42" s="153">
        <v>0.19</v>
      </c>
      <c r="G42" s="27" t="s">
        <v>55</v>
      </c>
      <c r="H42" s="19">
        <v>30</v>
      </c>
      <c r="I42" s="20">
        <v>0.24429999999999999</v>
      </c>
      <c r="J42" s="28">
        <v>100</v>
      </c>
      <c r="K42" s="20">
        <v>0.23230000000000001</v>
      </c>
      <c r="L42" s="29">
        <v>1000</v>
      </c>
      <c r="M42" s="20">
        <v>0.2198</v>
      </c>
      <c r="N42" s="30">
        <f t="shared" si="0"/>
        <v>1000</v>
      </c>
      <c r="O42" s="26">
        <v>0.18329999999999999</v>
      </c>
      <c r="P42" s="30"/>
      <c r="Q42" s="26">
        <v>0.1794</v>
      </c>
      <c r="R42" s="60"/>
      <c r="S42" s="61"/>
      <c r="T42" s="61"/>
      <c r="U42" s="62"/>
      <c r="V42" s="53"/>
      <c r="W42" s="26">
        <v>0.1638</v>
      </c>
      <c r="X42" s="53"/>
      <c r="Y42" s="26">
        <v>0.12</v>
      </c>
      <c r="Z42" s="77" t="s">
        <v>103</v>
      </c>
      <c r="AA42" s="78">
        <v>500</v>
      </c>
      <c r="AB42" s="60"/>
      <c r="AC42" s="72"/>
      <c r="AD42" s="60"/>
      <c r="AE42" s="72"/>
      <c r="AF42" s="60"/>
      <c r="AG42" s="72"/>
      <c r="AH42" s="54"/>
      <c r="AI42" s="54"/>
      <c r="AJ42" s="54"/>
      <c r="AK42" s="54"/>
      <c r="AL42" s="54"/>
      <c r="AM42" s="54"/>
      <c r="AN42" s="54"/>
      <c r="AO42" s="10"/>
      <c r="AP42" s="10"/>
    </row>
    <row r="43" spans="1:42" s="6" customFormat="1" ht="15" customHeight="1">
      <c r="A43" s="10"/>
      <c r="B43" s="8">
        <v>38</v>
      </c>
      <c r="C43" s="4">
        <v>2</v>
      </c>
      <c r="D43" s="5" t="s">
        <v>61</v>
      </c>
      <c r="E43" s="17"/>
      <c r="F43" s="153">
        <v>0.19</v>
      </c>
      <c r="G43" s="27" t="s">
        <v>55</v>
      </c>
      <c r="H43" s="19">
        <v>30</v>
      </c>
      <c r="I43" s="20">
        <v>0.24429999999999999</v>
      </c>
      <c r="J43" s="28">
        <v>100</v>
      </c>
      <c r="K43" s="20">
        <v>0.23230000000000001</v>
      </c>
      <c r="L43" s="29">
        <v>1000</v>
      </c>
      <c r="M43" s="20">
        <v>0.2198</v>
      </c>
      <c r="N43" s="30">
        <f>L43</f>
        <v>1000</v>
      </c>
      <c r="O43" s="26">
        <v>0.18329999999999999</v>
      </c>
      <c r="P43" s="30"/>
      <c r="Q43" s="26">
        <v>0.1794</v>
      </c>
      <c r="R43" s="60"/>
      <c r="S43" s="61"/>
      <c r="T43" s="61"/>
      <c r="U43" s="62"/>
      <c r="V43" s="53"/>
      <c r="W43" s="26">
        <v>0.1638</v>
      </c>
      <c r="X43" s="53"/>
      <c r="Y43" s="26">
        <v>0.12</v>
      </c>
      <c r="Z43" s="77" t="s">
        <v>103</v>
      </c>
      <c r="AA43" s="78">
        <v>500</v>
      </c>
      <c r="AB43" s="60"/>
      <c r="AC43" s="72"/>
      <c r="AD43" s="60"/>
      <c r="AE43" s="72"/>
      <c r="AF43" s="60"/>
      <c r="AG43" s="72"/>
      <c r="AH43" s="54"/>
      <c r="AI43" s="54"/>
      <c r="AJ43" s="54"/>
      <c r="AK43" s="54"/>
      <c r="AL43" s="54"/>
      <c r="AM43" s="54"/>
      <c r="AN43" s="54"/>
      <c r="AO43" s="10"/>
      <c r="AP43" s="10"/>
    </row>
    <row r="44" spans="1:42" s="6" customFormat="1" ht="15" customHeight="1" thickBot="1">
      <c r="A44" s="10"/>
      <c r="B44" s="47">
        <v>39</v>
      </c>
      <c r="C44" s="227">
        <v>2</v>
      </c>
      <c r="D44" s="37" t="s">
        <v>62</v>
      </c>
      <c r="E44" s="38"/>
      <c r="F44" s="154">
        <v>0.19</v>
      </c>
      <c r="G44" s="39" t="s">
        <v>55</v>
      </c>
      <c r="H44" s="40">
        <v>30</v>
      </c>
      <c r="I44" s="41">
        <v>0.24429999999999999</v>
      </c>
      <c r="J44" s="42">
        <v>100</v>
      </c>
      <c r="K44" s="41">
        <v>0.23230000000000001</v>
      </c>
      <c r="L44" s="43">
        <v>1000</v>
      </c>
      <c r="M44" s="41">
        <v>0.2198</v>
      </c>
      <c r="N44" s="44">
        <f>L44</f>
        <v>1000</v>
      </c>
      <c r="O44" s="45">
        <v>0.18329999999999999</v>
      </c>
      <c r="P44" s="44"/>
      <c r="Q44" s="45">
        <v>0.1794</v>
      </c>
      <c r="R44" s="63"/>
      <c r="S44" s="64"/>
      <c r="T44" s="64"/>
      <c r="U44" s="65"/>
      <c r="V44" s="55"/>
      <c r="W44" s="45">
        <v>0.1638</v>
      </c>
      <c r="X44" s="55"/>
      <c r="Y44" s="45">
        <v>0.12</v>
      </c>
      <c r="Z44" s="79" t="s">
        <v>103</v>
      </c>
      <c r="AA44" s="80">
        <v>500</v>
      </c>
      <c r="AB44" s="63"/>
      <c r="AC44" s="73"/>
      <c r="AD44" s="63"/>
      <c r="AE44" s="73"/>
      <c r="AF44" s="63"/>
      <c r="AG44" s="73"/>
      <c r="AH44" s="56"/>
      <c r="AI44" s="56"/>
      <c r="AJ44" s="56"/>
      <c r="AK44" s="56"/>
      <c r="AL44" s="56"/>
      <c r="AM44" s="56"/>
      <c r="AN44" s="56"/>
      <c r="AO44" s="10"/>
      <c r="AP44" s="10"/>
    </row>
    <row r="45" spans="1:42" s="6" customFormat="1" ht="15" customHeight="1" thickTop="1">
      <c r="A45" s="10"/>
      <c r="B45" s="8">
        <v>40</v>
      </c>
      <c r="C45" s="4">
        <v>3</v>
      </c>
      <c r="D45" s="31" t="s">
        <v>11</v>
      </c>
      <c r="E45" s="32"/>
      <c r="F45" s="155">
        <v>0.19</v>
      </c>
      <c r="G45" s="33" t="s">
        <v>55</v>
      </c>
      <c r="H45" s="34">
        <v>10</v>
      </c>
      <c r="I45" s="35">
        <v>0.19500000000000001</v>
      </c>
      <c r="J45" s="36">
        <v>40</v>
      </c>
      <c r="K45" s="35">
        <v>0.185</v>
      </c>
      <c r="L45" s="472">
        <v>1000</v>
      </c>
      <c r="M45" s="35">
        <v>0.16500000000000001</v>
      </c>
      <c r="N45" s="473">
        <v>1000</v>
      </c>
      <c r="O45" s="35">
        <v>0.13500000000000001</v>
      </c>
      <c r="P45" s="473"/>
      <c r="Q45" s="35">
        <v>0.13500000000000001</v>
      </c>
      <c r="R45" s="1639">
        <v>10000</v>
      </c>
      <c r="S45" s="1640"/>
      <c r="T45" s="1640"/>
      <c r="U45" s="1641"/>
      <c r="V45" s="67"/>
      <c r="W45" s="68"/>
      <c r="X45" s="67"/>
      <c r="Y45" s="68"/>
      <c r="Z45" s="61"/>
      <c r="AA45" s="61"/>
      <c r="AB45" s="53"/>
      <c r="AC45" s="74">
        <v>0</v>
      </c>
      <c r="AD45" s="53"/>
      <c r="AE45" s="74">
        <v>0.1</v>
      </c>
      <c r="AF45" s="53"/>
      <c r="AG45" s="74">
        <v>0</v>
      </c>
      <c r="AH45" s="54"/>
      <c r="AI45" s="54"/>
      <c r="AJ45" s="54"/>
      <c r="AK45" s="54"/>
      <c r="AL45" s="54"/>
      <c r="AM45" s="54"/>
      <c r="AN45" s="54"/>
      <c r="AO45" s="10"/>
      <c r="AP45" s="10"/>
    </row>
    <row r="46" spans="1:42" s="6" customFormat="1" ht="15" customHeight="1">
      <c r="A46" s="10"/>
      <c r="B46" s="8">
        <v>41</v>
      </c>
      <c r="C46" s="4">
        <v>3</v>
      </c>
      <c r="D46" s="5" t="s">
        <v>8</v>
      </c>
      <c r="E46" s="17"/>
      <c r="F46" s="153">
        <v>0.19</v>
      </c>
      <c r="G46" s="27" t="s">
        <v>55</v>
      </c>
      <c r="H46" s="21">
        <v>10</v>
      </c>
      <c r="I46" s="20">
        <v>0.19309999999999999</v>
      </c>
      <c r="J46" s="36">
        <v>40</v>
      </c>
      <c r="K46" s="20">
        <v>0.1832</v>
      </c>
      <c r="L46" s="472">
        <v>1000</v>
      </c>
      <c r="M46" s="20">
        <v>0.16339999999999999</v>
      </c>
      <c r="N46" s="473">
        <v>1000</v>
      </c>
      <c r="O46" s="20">
        <v>0.13370000000000001</v>
      </c>
      <c r="P46" s="473"/>
      <c r="Q46" s="20">
        <v>0.13370000000000001</v>
      </c>
      <c r="R46" s="1628">
        <v>10000</v>
      </c>
      <c r="S46" s="1629"/>
      <c r="T46" s="1629"/>
      <c r="U46" s="1630"/>
      <c r="V46" s="60"/>
      <c r="W46" s="62"/>
      <c r="X46" s="60"/>
      <c r="Y46" s="62"/>
      <c r="Z46" s="61"/>
      <c r="AA46" s="61"/>
      <c r="AB46" s="53"/>
      <c r="AC46" s="74">
        <v>0</v>
      </c>
      <c r="AD46" s="53"/>
      <c r="AE46" s="74">
        <v>0.1</v>
      </c>
      <c r="AF46" s="53"/>
      <c r="AG46" s="74">
        <v>0</v>
      </c>
      <c r="AH46" s="54"/>
      <c r="AI46" s="54"/>
      <c r="AJ46" s="54"/>
      <c r="AK46" s="54"/>
      <c r="AL46" s="54"/>
      <c r="AM46" s="54"/>
      <c r="AN46" s="54"/>
      <c r="AO46" s="10"/>
      <c r="AP46" s="10"/>
    </row>
    <row r="47" spans="1:42" s="6" customFormat="1" ht="15" customHeight="1">
      <c r="A47" s="10"/>
      <c r="B47" s="8">
        <v>42</v>
      </c>
      <c r="C47" s="4">
        <v>3</v>
      </c>
      <c r="D47" s="5" t="s">
        <v>12</v>
      </c>
      <c r="E47" s="17"/>
      <c r="F47" s="153">
        <v>0.19</v>
      </c>
      <c r="G47" s="27" t="s">
        <v>55</v>
      </c>
      <c r="H47" s="21">
        <v>10</v>
      </c>
      <c r="I47" s="20">
        <v>0.19109999999999999</v>
      </c>
      <c r="J47" s="36">
        <v>40</v>
      </c>
      <c r="K47" s="20">
        <v>0.18129999999999999</v>
      </c>
      <c r="L47" s="472">
        <v>1000</v>
      </c>
      <c r="M47" s="20">
        <v>0.16170000000000001</v>
      </c>
      <c r="N47" s="473">
        <v>1000</v>
      </c>
      <c r="O47" s="20">
        <v>0.1323</v>
      </c>
      <c r="P47" s="473"/>
      <c r="Q47" s="20">
        <v>0.1323</v>
      </c>
      <c r="R47" s="1628">
        <v>10000</v>
      </c>
      <c r="S47" s="1629"/>
      <c r="T47" s="1629"/>
      <c r="U47" s="1630"/>
      <c r="V47" s="60"/>
      <c r="W47" s="62"/>
      <c r="X47" s="60"/>
      <c r="Y47" s="62"/>
      <c r="Z47" s="61"/>
      <c r="AA47" s="61"/>
      <c r="AB47" s="53"/>
      <c r="AC47" s="74">
        <v>0</v>
      </c>
      <c r="AD47" s="53"/>
      <c r="AE47" s="74">
        <v>0.1</v>
      </c>
      <c r="AF47" s="53"/>
      <c r="AG47" s="74">
        <v>0</v>
      </c>
      <c r="AH47" s="54"/>
      <c r="AI47" s="54"/>
      <c r="AJ47" s="54"/>
      <c r="AK47" s="54"/>
      <c r="AL47" s="54"/>
      <c r="AM47" s="54"/>
      <c r="AN47" s="54"/>
      <c r="AO47" s="10"/>
      <c r="AP47" s="10"/>
    </row>
    <row r="48" spans="1:42" s="6" customFormat="1" ht="15" customHeight="1">
      <c r="A48" s="10"/>
      <c r="B48" s="8">
        <v>43</v>
      </c>
      <c r="C48" s="4">
        <v>3</v>
      </c>
      <c r="D48" s="5" t="s">
        <v>13</v>
      </c>
      <c r="E48" s="17"/>
      <c r="F48" s="153">
        <v>0.19</v>
      </c>
      <c r="G48" s="27" t="s">
        <v>55</v>
      </c>
      <c r="H48" s="21">
        <v>10</v>
      </c>
      <c r="I48" s="20">
        <v>0.18920000000000001</v>
      </c>
      <c r="J48" s="36">
        <v>40</v>
      </c>
      <c r="K48" s="20">
        <v>0.17949999999999999</v>
      </c>
      <c r="L48" s="472">
        <v>1000</v>
      </c>
      <c r="M48" s="20">
        <v>0.16009999999999999</v>
      </c>
      <c r="N48" s="473">
        <v>1000</v>
      </c>
      <c r="O48" s="20">
        <v>0.13100000000000001</v>
      </c>
      <c r="P48" s="473"/>
      <c r="Q48" s="20">
        <v>0.13100000000000001</v>
      </c>
      <c r="R48" s="1628">
        <v>10000</v>
      </c>
      <c r="S48" s="1629"/>
      <c r="T48" s="1629"/>
      <c r="U48" s="1630"/>
      <c r="V48" s="60"/>
      <c r="W48" s="62"/>
      <c r="X48" s="60"/>
      <c r="Y48" s="62"/>
      <c r="Z48" s="61"/>
      <c r="AA48" s="61"/>
      <c r="AB48" s="53"/>
      <c r="AC48" s="74">
        <v>0</v>
      </c>
      <c r="AD48" s="53"/>
      <c r="AE48" s="74">
        <v>0.1</v>
      </c>
      <c r="AF48" s="53"/>
      <c r="AG48" s="74">
        <v>0</v>
      </c>
      <c r="AH48" s="54"/>
      <c r="AI48" s="54"/>
      <c r="AJ48" s="54"/>
      <c r="AK48" s="54"/>
      <c r="AL48" s="54"/>
      <c r="AM48" s="54"/>
      <c r="AN48" s="54"/>
      <c r="AO48" s="10"/>
      <c r="AP48" s="10"/>
    </row>
    <row r="49" spans="1:42" s="6" customFormat="1" ht="15" customHeight="1">
      <c r="A49" s="10"/>
      <c r="B49" s="8">
        <v>44</v>
      </c>
      <c r="C49" s="4">
        <v>3</v>
      </c>
      <c r="D49" s="5" t="s">
        <v>14</v>
      </c>
      <c r="E49" s="17"/>
      <c r="F49" s="153">
        <v>0.19</v>
      </c>
      <c r="G49" s="27" t="s">
        <v>55</v>
      </c>
      <c r="H49" s="21">
        <v>10</v>
      </c>
      <c r="I49" s="20">
        <v>0.18729999999999999</v>
      </c>
      <c r="J49" s="36">
        <v>40</v>
      </c>
      <c r="K49" s="20">
        <v>0.1777</v>
      </c>
      <c r="L49" s="472">
        <v>1000</v>
      </c>
      <c r="M49" s="20">
        <v>0.1585</v>
      </c>
      <c r="N49" s="473">
        <v>1000</v>
      </c>
      <c r="O49" s="20">
        <v>0.12970000000000001</v>
      </c>
      <c r="P49" s="473"/>
      <c r="Q49" s="20">
        <v>0.12970000000000001</v>
      </c>
      <c r="R49" s="1628">
        <v>10000</v>
      </c>
      <c r="S49" s="1629"/>
      <c r="T49" s="1629"/>
      <c r="U49" s="1630"/>
      <c r="V49" s="60"/>
      <c r="W49" s="62"/>
      <c r="X49" s="60"/>
      <c r="Y49" s="62"/>
      <c r="Z49" s="61"/>
      <c r="AA49" s="61"/>
      <c r="AB49" s="53"/>
      <c r="AC49" s="74">
        <v>0</v>
      </c>
      <c r="AD49" s="53"/>
      <c r="AE49" s="74">
        <v>0.1</v>
      </c>
      <c r="AF49" s="53"/>
      <c r="AG49" s="74">
        <v>0</v>
      </c>
      <c r="AH49" s="54"/>
      <c r="AI49" s="54"/>
      <c r="AJ49" s="54"/>
      <c r="AK49" s="54"/>
      <c r="AL49" s="54"/>
      <c r="AM49" s="54"/>
      <c r="AN49" s="54"/>
      <c r="AO49" s="10"/>
      <c r="AP49" s="10"/>
    </row>
    <row r="50" spans="1:42" s="6" customFormat="1" ht="15" customHeight="1">
      <c r="A50" s="10"/>
      <c r="B50" s="8">
        <v>45</v>
      </c>
      <c r="C50" s="4">
        <v>3</v>
      </c>
      <c r="D50" s="5" t="s">
        <v>16</v>
      </c>
      <c r="E50" s="17"/>
      <c r="F50" s="153">
        <v>0.19</v>
      </c>
      <c r="G50" s="27" t="s">
        <v>55</v>
      </c>
      <c r="H50" s="21">
        <v>10</v>
      </c>
      <c r="I50" s="20">
        <v>0.18540000000000001</v>
      </c>
      <c r="J50" s="36">
        <v>40</v>
      </c>
      <c r="K50" s="20">
        <v>0.1759</v>
      </c>
      <c r="L50" s="472">
        <v>1000</v>
      </c>
      <c r="M50" s="20">
        <v>0.15690000000000001</v>
      </c>
      <c r="N50" s="473">
        <v>1000</v>
      </c>
      <c r="O50" s="20">
        <v>0.12839999999999999</v>
      </c>
      <c r="P50" s="473"/>
      <c r="Q50" s="20">
        <v>0.12839999999999999</v>
      </c>
      <c r="R50" s="1628">
        <v>10000</v>
      </c>
      <c r="S50" s="1629"/>
      <c r="T50" s="1629"/>
      <c r="U50" s="1630"/>
      <c r="V50" s="60"/>
      <c r="W50" s="62"/>
      <c r="X50" s="60"/>
      <c r="Y50" s="62"/>
      <c r="Z50" s="61"/>
      <c r="AA50" s="61"/>
      <c r="AB50" s="53"/>
      <c r="AC50" s="74">
        <v>0</v>
      </c>
      <c r="AD50" s="53"/>
      <c r="AE50" s="74">
        <v>0.1</v>
      </c>
      <c r="AF50" s="53"/>
      <c r="AG50" s="74">
        <v>0</v>
      </c>
      <c r="AH50" s="54"/>
      <c r="AI50" s="54"/>
      <c r="AJ50" s="54"/>
      <c r="AK50" s="54"/>
      <c r="AL50" s="54"/>
      <c r="AM50" s="54"/>
      <c r="AN50" s="54"/>
      <c r="AO50" s="10"/>
      <c r="AP50" s="10"/>
    </row>
    <row r="51" spans="1:42" s="6" customFormat="1" ht="15" customHeight="1">
      <c r="A51" s="10"/>
      <c r="B51" s="8">
        <v>46</v>
      </c>
      <c r="C51" s="4">
        <v>3</v>
      </c>
      <c r="D51" s="5" t="s">
        <v>15</v>
      </c>
      <c r="E51" s="17"/>
      <c r="F51" s="153">
        <v>0.19</v>
      </c>
      <c r="G51" s="27" t="s">
        <v>55</v>
      </c>
      <c r="H51" s="21">
        <v>10</v>
      </c>
      <c r="I51" s="20">
        <v>0.18360000000000001</v>
      </c>
      <c r="J51" s="36">
        <v>40</v>
      </c>
      <c r="K51" s="20">
        <v>0.17419999999999999</v>
      </c>
      <c r="L51" s="472">
        <v>1000</v>
      </c>
      <c r="M51" s="20">
        <v>0.15529999999999999</v>
      </c>
      <c r="N51" s="473">
        <v>1000</v>
      </c>
      <c r="O51" s="20">
        <v>0.12709999999999999</v>
      </c>
      <c r="P51" s="473"/>
      <c r="Q51" s="20">
        <v>0.12709999999999999</v>
      </c>
      <c r="R51" s="1628">
        <v>10000</v>
      </c>
      <c r="S51" s="1629"/>
      <c r="T51" s="1629"/>
      <c r="U51" s="1630"/>
      <c r="V51" s="60"/>
      <c r="W51" s="62"/>
      <c r="X51" s="60"/>
      <c r="Y51" s="62"/>
      <c r="Z51" s="61"/>
      <c r="AA51" s="61"/>
      <c r="AB51" s="53"/>
      <c r="AC51" s="74">
        <v>0</v>
      </c>
      <c r="AD51" s="53"/>
      <c r="AE51" s="74">
        <v>0.1</v>
      </c>
      <c r="AF51" s="53"/>
      <c r="AG51" s="74">
        <v>0</v>
      </c>
      <c r="AH51" s="54"/>
      <c r="AI51" s="54"/>
      <c r="AJ51" s="54"/>
      <c r="AK51" s="54"/>
      <c r="AL51" s="54"/>
      <c r="AM51" s="54"/>
      <c r="AN51" s="54"/>
      <c r="AO51" s="10"/>
      <c r="AP51" s="10"/>
    </row>
    <row r="52" spans="1:42" s="6" customFormat="1" ht="15" customHeight="1">
      <c r="A52" s="10"/>
      <c r="B52" s="8">
        <v>47</v>
      </c>
      <c r="C52" s="4">
        <v>3</v>
      </c>
      <c r="D52" s="5" t="s">
        <v>25</v>
      </c>
      <c r="E52" s="17"/>
      <c r="F52" s="153">
        <v>0.19</v>
      </c>
      <c r="G52" s="27" t="s">
        <v>55</v>
      </c>
      <c r="H52" s="21">
        <v>10</v>
      </c>
      <c r="I52" s="20">
        <v>0.17899999999999999</v>
      </c>
      <c r="J52" s="36">
        <v>40</v>
      </c>
      <c r="K52" s="20">
        <v>0.16980000000000001</v>
      </c>
      <c r="L52" s="472">
        <v>1000</v>
      </c>
      <c r="M52" s="20">
        <v>0.1515</v>
      </c>
      <c r="N52" s="473">
        <v>1000</v>
      </c>
      <c r="O52" s="20">
        <v>0.1239</v>
      </c>
      <c r="P52" s="473"/>
      <c r="Q52" s="20">
        <v>0.1239</v>
      </c>
      <c r="R52" s="1628">
        <v>10000</v>
      </c>
      <c r="S52" s="1629"/>
      <c r="T52" s="1629"/>
      <c r="U52" s="1630"/>
      <c r="V52" s="60"/>
      <c r="W52" s="62"/>
      <c r="X52" s="60"/>
      <c r="Y52" s="62"/>
      <c r="Z52" s="61"/>
      <c r="AA52" s="61"/>
      <c r="AB52" s="53"/>
      <c r="AC52" s="74">
        <v>0</v>
      </c>
      <c r="AD52" s="53"/>
      <c r="AE52" s="74">
        <v>0.1</v>
      </c>
      <c r="AF52" s="53"/>
      <c r="AG52" s="74">
        <v>0</v>
      </c>
      <c r="AH52" s="54"/>
      <c r="AI52" s="54"/>
      <c r="AJ52" s="54"/>
      <c r="AK52" s="54"/>
      <c r="AL52" s="54"/>
      <c r="AM52" s="54"/>
      <c r="AN52" s="54"/>
      <c r="AO52" s="10"/>
      <c r="AP52" s="10"/>
    </row>
    <row r="53" spans="1:42" s="6" customFormat="1" ht="15" customHeight="1">
      <c r="A53" s="10"/>
      <c r="B53" s="8">
        <v>48</v>
      </c>
      <c r="C53" s="4">
        <v>3</v>
      </c>
      <c r="D53" s="5" t="s">
        <v>17</v>
      </c>
      <c r="E53" s="17"/>
      <c r="F53" s="153">
        <v>0.19</v>
      </c>
      <c r="G53" s="27" t="s">
        <v>55</v>
      </c>
      <c r="H53" s="21">
        <v>10</v>
      </c>
      <c r="I53" s="20">
        <v>0.17449999999999999</v>
      </c>
      <c r="J53" s="36">
        <v>40</v>
      </c>
      <c r="K53" s="20">
        <v>0.1656</v>
      </c>
      <c r="L53" s="472">
        <v>1000</v>
      </c>
      <c r="M53" s="20">
        <v>0.1477</v>
      </c>
      <c r="N53" s="473">
        <v>1000</v>
      </c>
      <c r="O53" s="20">
        <v>0.1208</v>
      </c>
      <c r="P53" s="473"/>
      <c r="Q53" s="20">
        <v>0.1208</v>
      </c>
      <c r="R53" s="1628">
        <v>10000</v>
      </c>
      <c r="S53" s="1629"/>
      <c r="T53" s="1629"/>
      <c r="U53" s="1630"/>
      <c r="V53" s="60"/>
      <c r="W53" s="62"/>
      <c r="X53" s="60"/>
      <c r="Y53" s="62"/>
      <c r="Z53" s="61"/>
      <c r="AA53" s="61"/>
      <c r="AB53" s="53"/>
      <c r="AC53" s="74">
        <v>0</v>
      </c>
      <c r="AD53" s="53"/>
      <c r="AE53" s="74">
        <v>0.1</v>
      </c>
      <c r="AF53" s="53"/>
      <c r="AG53" s="74">
        <v>0</v>
      </c>
      <c r="AH53" s="54"/>
      <c r="AI53" s="54"/>
      <c r="AJ53" s="54"/>
      <c r="AK53" s="54"/>
      <c r="AL53" s="54"/>
      <c r="AM53" s="54"/>
      <c r="AN53" s="54"/>
      <c r="AO53" s="10"/>
      <c r="AP53" s="10"/>
    </row>
    <row r="54" spans="1:42" s="6" customFormat="1" ht="15" customHeight="1">
      <c r="A54" s="10"/>
      <c r="B54" s="8">
        <v>49</v>
      </c>
      <c r="C54" s="4">
        <v>3</v>
      </c>
      <c r="D54" s="5" t="s">
        <v>19</v>
      </c>
      <c r="E54" s="17"/>
      <c r="F54" s="153">
        <v>0.19</v>
      </c>
      <c r="G54" s="27" t="s">
        <v>55</v>
      </c>
      <c r="H54" s="21">
        <v>10</v>
      </c>
      <c r="I54" s="20">
        <v>0.17019999999999999</v>
      </c>
      <c r="J54" s="36">
        <v>40</v>
      </c>
      <c r="K54" s="20">
        <v>0.16139999999999999</v>
      </c>
      <c r="L54" s="472">
        <v>1000</v>
      </c>
      <c r="M54" s="20">
        <v>0.14399999999999999</v>
      </c>
      <c r="N54" s="473">
        <v>1000</v>
      </c>
      <c r="O54" s="20">
        <v>0.1178</v>
      </c>
      <c r="P54" s="473"/>
      <c r="Q54" s="20">
        <v>0.1178</v>
      </c>
      <c r="R54" s="1628">
        <v>10000</v>
      </c>
      <c r="S54" s="1629"/>
      <c r="T54" s="1629"/>
      <c r="U54" s="1630"/>
      <c r="V54" s="60"/>
      <c r="W54" s="62"/>
      <c r="X54" s="60"/>
      <c r="Y54" s="62"/>
      <c r="Z54" s="61"/>
      <c r="AA54" s="61"/>
      <c r="AB54" s="53"/>
      <c r="AC54" s="74">
        <v>0</v>
      </c>
      <c r="AD54" s="53"/>
      <c r="AE54" s="74">
        <v>0.1</v>
      </c>
      <c r="AF54" s="53"/>
      <c r="AG54" s="74">
        <v>0</v>
      </c>
      <c r="AH54" s="54"/>
      <c r="AI54" s="54"/>
      <c r="AJ54" s="54"/>
      <c r="AK54" s="54"/>
      <c r="AL54" s="54"/>
      <c r="AM54" s="54"/>
      <c r="AN54" s="54"/>
      <c r="AO54" s="10"/>
      <c r="AP54" s="10"/>
    </row>
    <row r="55" spans="1:42" s="6" customFormat="1" ht="15" customHeight="1">
      <c r="A55" s="10"/>
      <c r="B55" s="8">
        <v>50</v>
      </c>
      <c r="C55" s="4">
        <v>3</v>
      </c>
      <c r="D55" s="5" t="s">
        <v>523</v>
      </c>
      <c r="E55" s="17"/>
      <c r="F55" s="153">
        <v>0.19</v>
      </c>
      <c r="G55" s="27" t="s">
        <v>55</v>
      </c>
      <c r="H55" s="21">
        <v>10</v>
      </c>
      <c r="I55" s="20">
        <v>0.16639999999999999</v>
      </c>
      <c r="J55" s="36">
        <v>40</v>
      </c>
      <c r="K55" s="20">
        <v>0.15790000000000001</v>
      </c>
      <c r="L55" s="472">
        <v>1000</v>
      </c>
      <c r="M55" s="20">
        <v>0.14080000000000001</v>
      </c>
      <c r="N55" s="473">
        <v>1000</v>
      </c>
      <c r="O55" s="20">
        <v>0.1152</v>
      </c>
      <c r="P55" s="473"/>
      <c r="Q55" s="20">
        <v>0.1152</v>
      </c>
      <c r="R55" s="1628">
        <v>10000</v>
      </c>
      <c r="S55" s="1629"/>
      <c r="T55" s="1629"/>
      <c r="U55" s="1630"/>
      <c r="V55" s="60"/>
      <c r="W55" s="62"/>
      <c r="X55" s="60"/>
      <c r="Y55" s="62"/>
      <c r="Z55" s="61"/>
      <c r="AA55" s="61"/>
      <c r="AB55" s="53"/>
      <c r="AC55" s="74">
        <v>0</v>
      </c>
      <c r="AD55" s="53"/>
      <c r="AE55" s="74">
        <v>0.1</v>
      </c>
      <c r="AF55" s="53"/>
      <c r="AG55" s="74">
        <v>0</v>
      </c>
      <c r="AH55" s="54"/>
      <c r="AI55" s="54"/>
      <c r="AJ55" s="54"/>
      <c r="AK55" s="54"/>
      <c r="AL55" s="54"/>
      <c r="AM55" s="54"/>
      <c r="AN55" s="54"/>
      <c r="AO55" s="10"/>
      <c r="AP55" s="10"/>
    </row>
    <row r="56" spans="1:42" s="6" customFormat="1" ht="15" customHeight="1">
      <c r="A56" s="10"/>
      <c r="B56" s="8">
        <v>51</v>
      </c>
      <c r="C56" s="4">
        <v>3</v>
      </c>
      <c r="D56" s="5" t="s">
        <v>20</v>
      </c>
      <c r="E56" s="17"/>
      <c r="F56" s="153">
        <v>0.19</v>
      </c>
      <c r="G56" s="27" t="s">
        <v>55</v>
      </c>
      <c r="H56" s="21">
        <v>10</v>
      </c>
      <c r="I56" s="20">
        <v>0.1628</v>
      </c>
      <c r="J56" s="36">
        <v>40</v>
      </c>
      <c r="K56" s="20">
        <v>0.15440000000000001</v>
      </c>
      <c r="L56" s="472">
        <v>1000</v>
      </c>
      <c r="M56" s="20">
        <v>0.13769999999999999</v>
      </c>
      <c r="N56" s="473">
        <v>1000</v>
      </c>
      <c r="O56" s="20">
        <v>0.11269999999999999</v>
      </c>
      <c r="P56" s="473"/>
      <c r="Q56" s="20">
        <v>0.11269999999999999</v>
      </c>
      <c r="R56" s="1628">
        <v>10000</v>
      </c>
      <c r="S56" s="1629"/>
      <c r="T56" s="1629"/>
      <c r="U56" s="1630"/>
      <c r="V56" s="60"/>
      <c r="W56" s="62"/>
      <c r="X56" s="60"/>
      <c r="Y56" s="62"/>
      <c r="Z56" s="61"/>
      <c r="AA56" s="61"/>
      <c r="AB56" s="53"/>
      <c r="AC56" s="74">
        <v>0</v>
      </c>
      <c r="AD56" s="53"/>
      <c r="AE56" s="74">
        <v>0.1</v>
      </c>
      <c r="AF56" s="53"/>
      <c r="AG56" s="74">
        <v>0</v>
      </c>
      <c r="AH56" s="54"/>
      <c r="AI56" s="54"/>
      <c r="AJ56" s="54"/>
      <c r="AK56" s="54"/>
      <c r="AL56" s="54"/>
      <c r="AM56" s="54"/>
      <c r="AN56" s="54"/>
      <c r="AO56" s="10"/>
      <c r="AP56" s="10"/>
    </row>
    <row r="57" spans="1:42" s="6" customFormat="1" ht="15" customHeight="1">
      <c r="A57" s="10"/>
      <c r="B57" s="8">
        <v>52</v>
      </c>
      <c r="C57" s="4">
        <v>3</v>
      </c>
      <c r="D57" s="5" t="s">
        <v>18</v>
      </c>
      <c r="E57" s="17"/>
      <c r="F57" s="153">
        <v>0.19</v>
      </c>
      <c r="G57" s="27" t="s">
        <v>55</v>
      </c>
      <c r="H57" s="21">
        <v>10</v>
      </c>
      <c r="I57" s="20">
        <v>0.15920000000000001</v>
      </c>
      <c r="J57" s="36">
        <v>40</v>
      </c>
      <c r="K57" s="20">
        <v>0.151</v>
      </c>
      <c r="L57" s="472">
        <v>1000</v>
      </c>
      <c r="M57" s="20">
        <v>0.13469999999999999</v>
      </c>
      <c r="N57" s="473">
        <v>1000</v>
      </c>
      <c r="O57" s="20">
        <v>0.11020000000000001</v>
      </c>
      <c r="P57" s="473"/>
      <c r="Q57" s="20">
        <v>0.11020000000000001</v>
      </c>
      <c r="R57" s="1628">
        <v>10000</v>
      </c>
      <c r="S57" s="1629"/>
      <c r="T57" s="1629"/>
      <c r="U57" s="1630"/>
      <c r="V57" s="60"/>
      <c r="W57" s="62"/>
      <c r="X57" s="60"/>
      <c r="Y57" s="62"/>
      <c r="Z57" s="61"/>
      <c r="AA57" s="61"/>
      <c r="AB57" s="53"/>
      <c r="AC57" s="74">
        <v>0</v>
      </c>
      <c r="AD57" s="53"/>
      <c r="AE57" s="74">
        <v>0.1</v>
      </c>
      <c r="AF57" s="53"/>
      <c r="AG57" s="74">
        <v>0</v>
      </c>
      <c r="AH57" s="54"/>
      <c r="AI57" s="54"/>
      <c r="AJ57" s="54"/>
      <c r="AK57" s="54"/>
      <c r="AL57" s="54"/>
      <c r="AM57" s="54"/>
      <c r="AN57" s="54"/>
      <c r="AO57" s="10"/>
      <c r="AP57" s="10"/>
    </row>
    <row r="58" spans="1:42" s="6" customFormat="1" ht="15" customHeight="1">
      <c r="A58" s="10"/>
      <c r="B58" s="8">
        <v>53</v>
      </c>
      <c r="C58" s="4">
        <v>3</v>
      </c>
      <c r="D58" s="5" t="s">
        <v>524</v>
      </c>
      <c r="E58" s="17"/>
      <c r="F58" s="153">
        <v>0.19</v>
      </c>
      <c r="G58" s="27" t="s">
        <v>55</v>
      </c>
      <c r="H58" s="21">
        <v>10</v>
      </c>
      <c r="I58" s="20">
        <v>0.15629999999999999</v>
      </c>
      <c r="J58" s="36">
        <v>40</v>
      </c>
      <c r="K58" s="20">
        <v>0.14829999999999999</v>
      </c>
      <c r="L58" s="472">
        <v>1000</v>
      </c>
      <c r="M58" s="20">
        <v>0.1323</v>
      </c>
      <c r="N58" s="473">
        <v>1000</v>
      </c>
      <c r="O58" s="20">
        <v>0.1082</v>
      </c>
      <c r="P58" s="473"/>
      <c r="Q58" s="20">
        <v>0.1082</v>
      </c>
      <c r="R58" s="1628">
        <v>10000</v>
      </c>
      <c r="S58" s="1629"/>
      <c r="T58" s="1629"/>
      <c r="U58" s="1630"/>
      <c r="V58" s="60"/>
      <c r="W58" s="62"/>
      <c r="X58" s="60"/>
      <c r="Y58" s="62"/>
      <c r="Z58" s="61"/>
      <c r="AA58" s="61"/>
      <c r="AB58" s="53"/>
      <c r="AC58" s="74">
        <v>0</v>
      </c>
      <c r="AD58" s="53"/>
      <c r="AE58" s="74">
        <v>0.1</v>
      </c>
      <c r="AF58" s="53"/>
      <c r="AG58" s="74">
        <v>0</v>
      </c>
      <c r="AH58" s="54"/>
      <c r="AI58" s="54"/>
      <c r="AJ58" s="54"/>
      <c r="AK58" s="54"/>
      <c r="AL58" s="54"/>
      <c r="AM58" s="54"/>
      <c r="AN58" s="54"/>
      <c r="AO58" s="10"/>
      <c r="AP58" s="10"/>
    </row>
    <row r="59" spans="1:42" s="6" customFormat="1" ht="15" customHeight="1">
      <c r="A59" s="10"/>
      <c r="B59" s="8">
        <v>54</v>
      </c>
      <c r="C59" s="4">
        <v>3</v>
      </c>
      <c r="D59" s="5" t="s">
        <v>21</v>
      </c>
      <c r="E59" s="17"/>
      <c r="F59" s="153">
        <v>0.19</v>
      </c>
      <c r="G59" s="27" t="s">
        <v>55</v>
      </c>
      <c r="H59" s="21">
        <v>10</v>
      </c>
      <c r="I59" s="20">
        <v>0.1535</v>
      </c>
      <c r="J59" s="36">
        <v>40</v>
      </c>
      <c r="K59" s="20">
        <v>0.14560000000000001</v>
      </c>
      <c r="L59" s="472">
        <v>1000</v>
      </c>
      <c r="M59" s="20">
        <v>0.12989999999999999</v>
      </c>
      <c r="N59" s="473">
        <v>1000</v>
      </c>
      <c r="O59" s="20">
        <v>0.10630000000000001</v>
      </c>
      <c r="P59" s="473"/>
      <c r="Q59" s="20">
        <v>0.10630000000000001</v>
      </c>
      <c r="R59" s="1628">
        <v>10000</v>
      </c>
      <c r="S59" s="1629"/>
      <c r="T59" s="1629"/>
      <c r="U59" s="1630"/>
      <c r="V59" s="60"/>
      <c r="W59" s="62"/>
      <c r="X59" s="60"/>
      <c r="Y59" s="62"/>
      <c r="Z59" s="61"/>
      <c r="AA59" s="61"/>
      <c r="AB59" s="53"/>
      <c r="AC59" s="74">
        <v>0</v>
      </c>
      <c r="AD59" s="53"/>
      <c r="AE59" s="74">
        <v>0.1</v>
      </c>
      <c r="AF59" s="53"/>
      <c r="AG59" s="74">
        <v>0</v>
      </c>
      <c r="AH59" s="54"/>
      <c r="AI59" s="54"/>
      <c r="AJ59" s="54"/>
      <c r="AK59" s="54"/>
      <c r="AL59" s="54"/>
      <c r="AM59" s="54"/>
      <c r="AN59" s="54"/>
      <c r="AO59" s="10"/>
      <c r="AP59" s="10"/>
    </row>
    <row r="60" spans="1:42" s="6" customFormat="1" ht="15" customHeight="1">
      <c r="A60" s="10"/>
      <c r="B60" s="8">
        <v>55</v>
      </c>
      <c r="C60" s="4">
        <v>3</v>
      </c>
      <c r="D60" s="5" t="s">
        <v>22</v>
      </c>
      <c r="E60" s="17"/>
      <c r="F60" s="153">
        <v>0.19</v>
      </c>
      <c r="G60" s="27" t="s">
        <v>55</v>
      </c>
      <c r="H60" s="21">
        <v>10</v>
      </c>
      <c r="I60" s="20">
        <v>0.1507</v>
      </c>
      <c r="J60" s="36">
        <v>40</v>
      </c>
      <c r="K60" s="20">
        <v>0.14299999999999999</v>
      </c>
      <c r="L60" s="472">
        <v>1000</v>
      </c>
      <c r="M60" s="20">
        <v>0.1275</v>
      </c>
      <c r="N60" s="473">
        <v>1000</v>
      </c>
      <c r="O60" s="20">
        <v>0.10440000000000001</v>
      </c>
      <c r="P60" s="473"/>
      <c r="Q60" s="20">
        <v>0.10440000000000001</v>
      </c>
      <c r="R60" s="1628">
        <v>10000</v>
      </c>
      <c r="S60" s="1629"/>
      <c r="T60" s="1629"/>
      <c r="U60" s="1630"/>
      <c r="V60" s="60"/>
      <c r="W60" s="62"/>
      <c r="X60" s="60"/>
      <c r="Y60" s="62"/>
      <c r="Z60" s="61"/>
      <c r="AA60" s="61"/>
      <c r="AB60" s="53"/>
      <c r="AC60" s="74">
        <v>0</v>
      </c>
      <c r="AD60" s="53"/>
      <c r="AE60" s="74">
        <v>0.1</v>
      </c>
      <c r="AF60" s="53"/>
      <c r="AG60" s="74">
        <v>0</v>
      </c>
      <c r="AH60" s="54"/>
      <c r="AI60" s="54"/>
      <c r="AJ60" s="54"/>
      <c r="AK60" s="54"/>
      <c r="AL60" s="54"/>
      <c r="AM60" s="54"/>
      <c r="AN60" s="54"/>
      <c r="AO60" s="10"/>
      <c r="AP60" s="10"/>
    </row>
    <row r="61" spans="1:42" s="6" customFormat="1" ht="15" customHeight="1">
      <c r="A61" s="10"/>
      <c r="B61" s="8">
        <v>56</v>
      </c>
      <c r="C61" s="4">
        <v>3</v>
      </c>
      <c r="D61" s="5" t="s">
        <v>525</v>
      </c>
      <c r="E61" s="17"/>
      <c r="F61" s="153">
        <v>0.19</v>
      </c>
      <c r="G61" s="27" t="s">
        <v>55</v>
      </c>
      <c r="H61" s="21">
        <v>10</v>
      </c>
      <c r="I61" s="20">
        <v>0.14799999999999999</v>
      </c>
      <c r="J61" s="36">
        <v>40</v>
      </c>
      <c r="K61" s="20">
        <v>0.1404</v>
      </c>
      <c r="L61" s="472">
        <v>1000</v>
      </c>
      <c r="M61" s="20">
        <v>0.12520000000000001</v>
      </c>
      <c r="N61" s="473">
        <v>1000</v>
      </c>
      <c r="O61" s="20">
        <v>0.10249999999999999</v>
      </c>
      <c r="P61" s="473"/>
      <c r="Q61" s="20">
        <v>0.10249999999999999</v>
      </c>
      <c r="R61" s="1628">
        <v>10000</v>
      </c>
      <c r="S61" s="1629"/>
      <c r="T61" s="1629"/>
      <c r="U61" s="1630"/>
      <c r="V61" s="60"/>
      <c r="W61" s="62"/>
      <c r="X61" s="60"/>
      <c r="Y61" s="62"/>
      <c r="Z61" s="61"/>
      <c r="AA61" s="61"/>
      <c r="AB61" s="53"/>
      <c r="AC61" s="74">
        <v>0</v>
      </c>
      <c r="AD61" s="53"/>
      <c r="AE61" s="74">
        <v>0.1</v>
      </c>
      <c r="AF61" s="53"/>
      <c r="AG61" s="74">
        <v>0</v>
      </c>
      <c r="AH61" s="54"/>
      <c r="AI61" s="54"/>
      <c r="AJ61" s="54"/>
      <c r="AK61" s="54"/>
      <c r="AL61" s="54"/>
      <c r="AM61" s="54"/>
      <c r="AN61" s="54"/>
      <c r="AO61" s="10"/>
      <c r="AP61" s="10"/>
    </row>
    <row r="62" spans="1:42" s="6" customFormat="1" ht="15" customHeight="1">
      <c r="A62" s="10"/>
      <c r="B62" s="8">
        <v>57</v>
      </c>
      <c r="C62" s="4">
        <v>3</v>
      </c>
      <c r="D62" s="5" t="s">
        <v>23</v>
      </c>
      <c r="E62" s="17"/>
      <c r="F62" s="153">
        <v>0.19</v>
      </c>
      <c r="G62" s="27" t="s">
        <v>55</v>
      </c>
      <c r="H62" s="21">
        <v>10</v>
      </c>
      <c r="I62" s="20">
        <v>0.1454</v>
      </c>
      <c r="J62" s="36">
        <v>40</v>
      </c>
      <c r="K62" s="20">
        <v>0.13789999999999999</v>
      </c>
      <c r="L62" s="472">
        <v>1000</v>
      </c>
      <c r="M62" s="20">
        <v>0.123</v>
      </c>
      <c r="N62" s="473">
        <v>1000</v>
      </c>
      <c r="O62" s="20">
        <v>0.10059999999999999</v>
      </c>
      <c r="P62" s="473"/>
      <c r="Q62" s="20">
        <v>0.10059999999999999</v>
      </c>
      <c r="R62" s="1628">
        <v>10000</v>
      </c>
      <c r="S62" s="1629"/>
      <c r="T62" s="1629"/>
      <c r="U62" s="1630"/>
      <c r="V62" s="60"/>
      <c r="W62" s="62"/>
      <c r="X62" s="60"/>
      <c r="Y62" s="62"/>
      <c r="Z62" s="61"/>
      <c r="AA62" s="61"/>
      <c r="AB62" s="53"/>
      <c r="AC62" s="74">
        <v>0</v>
      </c>
      <c r="AD62" s="53"/>
      <c r="AE62" s="74">
        <v>0.1</v>
      </c>
      <c r="AF62" s="53"/>
      <c r="AG62" s="74">
        <v>0</v>
      </c>
      <c r="AH62" s="54"/>
      <c r="AI62" s="54"/>
      <c r="AJ62" s="54"/>
      <c r="AK62" s="54"/>
      <c r="AL62" s="54"/>
      <c r="AM62" s="54"/>
      <c r="AN62" s="54"/>
      <c r="AO62" s="10"/>
      <c r="AP62" s="10"/>
    </row>
    <row r="63" spans="1:42" s="6" customFormat="1" ht="15" customHeight="1">
      <c r="A63" s="10"/>
      <c r="B63" s="8">
        <v>58</v>
      </c>
      <c r="C63" s="4">
        <v>3</v>
      </c>
      <c r="D63" s="5" t="s">
        <v>24</v>
      </c>
      <c r="E63" s="17"/>
      <c r="F63" s="153">
        <v>0.19</v>
      </c>
      <c r="G63" s="27" t="s">
        <v>55</v>
      </c>
      <c r="H63" s="21">
        <v>10</v>
      </c>
      <c r="I63" s="20">
        <v>0.14269999999999999</v>
      </c>
      <c r="J63" s="36">
        <v>40</v>
      </c>
      <c r="K63" s="20">
        <v>0.13539999999999999</v>
      </c>
      <c r="L63" s="472">
        <v>1000</v>
      </c>
      <c r="M63" s="20">
        <v>0.1208</v>
      </c>
      <c r="N63" s="473">
        <v>1000</v>
      </c>
      <c r="O63" s="20">
        <v>9.8799999999999999E-2</v>
      </c>
      <c r="P63" s="473"/>
      <c r="Q63" s="20">
        <v>9.8799999999999999E-2</v>
      </c>
      <c r="R63" s="1628">
        <v>10000</v>
      </c>
      <c r="S63" s="1629"/>
      <c r="T63" s="1629"/>
      <c r="U63" s="1630"/>
      <c r="V63" s="60"/>
      <c r="W63" s="62"/>
      <c r="X63" s="60"/>
      <c r="Y63" s="62"/>
      <c r="Z63" s="61"/>
      <c r="AA63" s="61"/>
      <c r="AB63" s="53"/>
      <c r="AC63" s="74">
        <v>0</v>
      </c>
      <c r="AD63" s="53"/>
      <c r="AE63" s="74">
        <v>0.1</v>
      </c>
      <c r="AF63" s="53"/>
      <c r="AG63" s="74">
        <v>0</v>
      </c>
      <c r="AH63" s="54"/>
      <c r="AI63" s="54"/>
      <c r="AJ63" s="54"/>
      <c r="AK63" s="54"/>
      <c r="AL63" s="54"/>
      <c r="AM63" s="54"/>
      <c r="AN63" s="54"/>
      <c r="AO63" s="10"/>
      <c r="AP63" s="10"/>
    </row>
    <row r="64" spans="1:42" s="6" customFormat="1" ht="15" customHeight="1">
      <c r="A64" s="10"/>
      <c r="B64" s="8">
        <v>59</v>
      </c>
      <c r="C64" s="4">
        <v>3</v>
      </c>
      <c r="D64" s="5" t="s">
        <v>526</v>
      </c>
      <c r="E64" s="17"/>
      <c r="F64" s="153">
        <v>0.19</v>
      </c>
      <c r="G64" s="27" t="s">
        <v>55</v>
      </c>
      <c r="H64" s="21">
        <v>10</v>
      </c>
      <c r="I64" s="20">
        <v>0.14069999999999999</v>
      </c>
      <c r="J64" s="36">
        <v>40</v>
      </c>
      <c r="K64" s="20">
        <v>0.13350000000000001</v>
      </c>
      <c r="L64" s="472">
        <v>1000</v>
      </c>
      <c r="M64" s="20">
        <v>0.1191</v>
      </c>
      <c r="N64" s="473">
        <v>1000</v>
      </c>
      <c r="O64" s="20">
        <v>9.74E-2</v>
      </c>
      <c r="P64" s="473"/>
      <c r="Q64" s="20">
        <v>9.74E-2</v>
      </c>
      <c r="R64" s="1628">
        <v>10000</v>
      </c>
      <c r="S64" s="1629"/>
      <c r="T64" s="1629"/>
      <c r="U64" s="1630"/>
      <c r="V64" s="60"/>
      <c r="W64" s="62"/>
      <c r="X64" s="60"/>
      <c r="Y64" s="62"/>
      <c r="Z64" s="61"/>
      <c r="AA64" s="61"/>
      <c r="AB64" s="53"/>
      <c r="AC64" s="74">
        <v>0</v>
      </c>
      <c r="AD64" s="53"/>
      <c r="AE64" s="74">
        <v>0.1</v>
      </c>
      <c r="AF64" s="53"/>
      <c r="AG64" s="74">
        <v>0</v>
      </c>
      <c r="AH64" s="54"/>
      <c r="AI64" s="54"/>
      <c r="AJ64" s="54"/>
      <c r="AK64" s="54"/>
      <c r="AL64" s="54"/>
      <c r="AM64" s="54"/>
      <c r="AN64" s="54"/>
      <c r="AO64" s="10"/>
      <c r="AP64" s="10"/>
    </row>
    <row r="65" spans="1:42" s="6" customFormat="1" ht="15" customHeight="1">
      <c r="A65" s="10"/>
      <c r="B65" s="8">
        <v>60</v>
      </c>
      <c r="C65" s="4">
        <v>3</v>
      </c>
      <c r="D65" s="5" t="s">
        <v>26</v>
      </c>
      <c r="E65" s="17"/>
      <c r="F65" s="153">
        <v>0.19</v>
      </c>
      <c r="G65" s="27" t="s">
        <v>55</v>
      </c>
      <c r="H65" s="21">
        <v>10</v>
      </c>
      <c r="I65" s="20">
        <v>0.1338</v>
      </c>
      <c r="J65" s="36">
        <v>40</v>
      </c>
      <c r="K65" s="20">
        <v>0.13170000000000001</v>
      </c>
      <c r="L65" s="472">
        <v>1000</v>
      </c>
      <c r="M65" s="20">
        <v>0.1174</v>
      </c>
      <c r="N65" s="473">
        <v>1000</v>
      </c>
      <c r="O65" s="20">
        <v>9.6100000000000005E-2</v>
      </c>
      <c r="P65" s="473"/>
      <c r="Q65" s="20">
        <v>9.6100000000000005E-2</v>
      </c>
      <c r="R65" s="1628">
        <v>10000</v>
      </c>
      <c r="S65" s="1629"/>
      <c r="T65" s="1629"/>
      <c r="U65" s="1630"/>
      <c r="V65" s="60"/>
      <c r="W65" s="62"/>
      <c r="X65" s="60"/>
      <c r="Y65" s="62"/>
      <c r="Z65" s="61"/>
      <c r="AA65" s="61"/>
      <c r="AB65" s="53"/>
      <c r="AC65" s="74">
        <v>0</v>
      </c>
      <c r="AD65" s="53"/>
      <c r="AE65" s="74">
        <v>0.1</v>
      </c>
      <c r="AF65" s="53"/>
      <c r="AG65" s="74">
        <v>0</v>
      </c>
      <c r="AH65" s="54"/>
      <c r="AI65" s="54"/>
      <c r="AJ65" s="54"/>
      <c r="AK65" s="54"/>
      <c r="AL65" s="54"/>
      <c r="AM65" s="54"/>
      <c r="AN65" s="54"/>
      <c r="AO65" s="10"/>
      <c r="AP65" s="10"/>
    </row>
    <row r="66" spans="1:42" s="6" customFormat="1" ht="15" customHeight="1">
      <c r="A66" s="10"/>
      <c r="B66" s="8">
        <v>61</v>
      </c>
      <c r="C66" s="4">
        <v>3</v>
      </c>
      <c r="D66" s="5" t="s">
        <v>27</v>
      </c>
      <c r="E66" s="17"/>
      <c r="F66" s="153">
        <v>0.19</v>
      </c>
      <c r="G66" s="27" t="s">
        <v>55</v>
      </c>
      <c r="H66" s="21">
        <v>10</v>
      </c>
      <c r="I66" s="20">
        <v>0.1368</v>
      </c>
      <c r="J66" s="36">
        <v>40</v>
      </c>
      <c r="K66" s="20">
        <v>0.1298</v>
      </c>
      <c r="L66" s="472">
        <v>1000</v>
      </c>
      <c r="M66" s="20">
        <v>0.1158</v>
      </c>
      <c r="N66" s="473">
        <v>1000</v>
      </c>
      <c r="O66" s="20">
        <v>9.4700000000000006E-2</v>
      </c>
      <c r="P66" s="473"/>
      <c r="Q66" s="20">
        <v>9.4700000000000006E-2</v>
      </c>
      <c r="R66" s="1628">
        <v>10000</v>
      </c>
      <c r="S66" s="1629"/>
      <c r="T66" s="1629"/>
      <c r="U66" s="1630"/>
      <c r="V66" s="60"/>
      <c r="W66" s="62"/>
      <c r="X66" s="60"/>
      <c r="Y66" s="62"/>
      <c r="Z66" s="61"/>
      <c r="AA66" s="61"/>
      <c r="AB66" s="53"/>
      <c r="AC66" s="74">
        <v>0</v>
      </c>
      <c r="AD66" s="53"/>
      <c r="AE66" s="74">
        <v>0.1</v>
      </c>
      <c r="AF66" s="53"/>
      <c r="AG66" s="74">
        <v>0</v>
      </c>
      <c r="AH66" s="54"/>
      <c r="AI66" s="54"/>
      <c r="AJ66" s="54"/>
      <c r="AK66" s="54"/>
      <c r="AL66" s="54"/>
      <c r="AM66" s="54"/>
      <c r="AN66" s="54"/>
      <c r="AO66" s="10"/>
      <c r="AP66" s="10"/>
    </row>
    <row r="67" spans="1:42" s="6" customFormat="1" ht="15" customHeight="1">
      <c r="A67" s="10"/>
      <c r="B67" s="8">
        <v>62</v>
      </c>
      <c r="C67" s="4">
        <v>3</v>
      </c>
      <c r="D67" s="5" t="s">
        <v>527</v>
      </c>
      <c r="E67" s="17"/>
      <c r="F67" s="153">
        <v>0.19</v>
      </c>
      <c r="G67" s="27" t="s">
        <v>55</v>
      </c>
      <c r="H67" s="21">
        <v>10</v>
      </c>
      <c r="I67" s="20">
        <v>0.13550000000000001</v>
      </c>
      <c r="J67" s="36">
        <v>40</v>
      </c>
      <c r="K67" s="20">
        <v>0.1285</v>
      </c>
      <c r="L67" s="472">
        <v>1000</v>
      </c>
      <c r="M67" s="20">
        <v>0.11459999999999999</v>
      </c>
      <c r="N67" s="473">
        <v>1000</v>
      </c>
      <c r="O67" s="20">
        <v>9.3799999999999994E-2</v>
      </c>
      <c r="P67" s="473"/>
      <c r="Q67" s="20">
        <v>9.3799999999999994E-2</v>
      </c>
      <c r="R67" s="1628">
        <v>10000</v>
      </c>
      <c r="S67" s="1629"/>
      <c r="T67" s="1629"/>
      <c r="U67" s="1630"/>
      <c r="V67" s="60"/>
      <c r="W67" s="62"/>
      <c r="X67" s="60"/>
      <c r="Y67" s="62"/>
      <c r="Z67" s="61"/>
      <c r="AA67" s="61"/>
      <c r="AB67" s="53"/>
      <c r="AC67" s="74">
        <v>0</v>
      </c>
      <c r="AD67" s="53"/>
      <c r="AE67" s="74">
        <v>0.1</v>
      </c>
      <c r="AF67" s="53"/>
      <c r="AG67" s="74">
        <v>0</v>
      </c>
      <c r="AH67" s="54"/>
      <c r="AI67" s="54"/>
      <c r="AJ67" s="54"/>
      <c r="AK67" s="54"/>
      <c r="AL67" s="54"/>
      <c r="AM67" s="54"/>
      <c r="AN67" s="54"/>
      <c r="AO67" s="10"/>
      <c r="AP67" s="10"/>
    </row>
    <row r="68" spans="1:42" s="6" customFormat="1" ht="15" customHeight="1">
      <c r="A68" s="10"/>
      <c r="B68" s="8">
        <v>63</v>
      </c>
      <c r="C68" s="4">
        <v>3</v>
      </c>
      <c r="D68" s="5" t="s">
        <v>28</v>
      </c>
      <c r="E68" s="17"/>
      <c r="F68" s="153">
        <v>0.19</v>
      </c>
      <c r="G68" s="27" t="s">
        <v>55</v>
      </c>
      <c r="H68" s="21">
        <v>10</v>
      </c>
      <c r="I68" s="20">
        <v>0.1341</v>
      </c>
      <c r="J68" s="36">
        <v>40</v>
      </c>
      <c r="K68" s="20">
        <v>0.12720000000000001</v>
      </c>
      <c r="L68" s="472">
        <v>1000</v>
      </c>
      <c r="M68" s="20">
        <v>0.1135</v>
      </c>
      <c r="N68" s="473">
        <v>1000</v>
      </c>
      <c r="O68" s="20">
        <v>9.2799999999999994E-2</v>
      </c>
      <c r="P68" s="473"/>
      <c r="Q68" s="20">
        <v>9.2799999999999994E-2</v>
      </c>
      <c r="R68" s="1628">
        <v>10000</v>
      </c>
      <c r="S68" s="1629"/>
      <c r="T68" s="1629"/>
      <c r="U68" s="1630"/>
      <c r="V68" s="60"/>
      <c r="W68" s="62"/>
      <c r="X68" s="60"/>
      <c r="Y68" s="62"/>
      <c r="Z68" s="61"/>
      <c r="AA68" s="61"/>
      <c r="AB68" s="53"/>
      <c r="AC68" s="74">
        <v>0</v>
      </c>
      <c r="AD68" s="53"/>
      <c r="AE68" s="74">
        <v>0.1</v>
      </c>
      <c r="AF68" s="53"/>
      <c r="AG68" s="74">
        <v>0</v>
      </c>
      <c r="AH68" s="54"/>
      <c r="AI68" s="54"/>
      <c r="AJ68" s="54"/>
      <c r="AK68" s="54"/>
      <c r="AL68" s="54"/>
      <c r="AM68" s="54"/>
      <c r="AN68" s="54"/>
      <c r="AO68" s="10"/>
      <c r="AP68" s="10"/>
    </row>
    <row r="69" spans="1:42" s="6" customFormat="1" ht="15" customHeight="1">
      <c r="A69" s="10"/>
      <c r="B69" s="8">
        <v>64</v>
      </c>
      <c r="C69" s="4">
        <v>3</v>
      </c>
      <c r="D69" s="5" t="s">
        <v>29</v>
      </c>
      <c r="E69" s="17"/>
      <c r="F69" s="153">
        <v>0.19</v>
      </c>
      <c r="G69" s="27" t="s">
        <v>55</v>
      </c>
      <c r="H69" s="21">
        <v>10</v>
      </c>
      <c r="I69" s="20">
        <v>0.1328</v>
      </c>
      <c r="J69" s="36">
        <v>40</v>
      </c>
      <c r="K69" s="20">
        <v>0.126</v>
      </c>
      <c r="L69" s="472">
        <v>1000</v>
      </c>
      <c r="M69" s="20">
        <v>0.1123</v>
      </c>
      <c r="N69" s="473">
        <v>1000</v>
      </c>
      <c r="O69" s="20">
        <v>9.1899999999999996E-2</v>
      </c>
      <c r="P69" s="473"/>
      <c r="Q69" s="20">
        <v>9.1899999999999996E-2</v>
      </c>
      <c r="R69" s="1628">
        <v>10000</v>
      </c>
      <c r="S69" s="1629"/>
      <c r="T69" s="1629"/>
      <c r="U69" s="1630"/>
      <c r="V69" s="60"/>
      <c r="W69" s="62"/>
      <c r="X69" s="60"/>
      <c r="Y69" s="62"/>
      <c r="Z69" s="61"/>
      <c r="AA69" s="61"/>
      <c r="AB69" s="53"/>
      <c r="AC69" s="74">
        <v>0</v>
      </c>
      <c r="AD69" s="53"/>
      <c r="AE69" s="74">
        <v>0.1</v>
      </c>
      <c r="AF69" s="53"/>
      <c r="AG69" s="74">
        <v>0</v>
      </c>
      <c r="AH69" s="54"/>
      <c r="AI69" s="54"/>
      <c r="AJ69" s="54"/>
      <c r="AK69" s="54"/>
      <c r="AL69" s="54"/>
      <c r="AM69" s="54"/>
      <c r="AN69" s="54"/>
      <c r="AO69" s="10"/>
      <c r="AP69" s="10"/>
    </row>
    <row r="70" spans="1:42" s="6" customFormat="1" ht="15" customHeight="1">
      <c r="A70" s="10"/>
      <c r="B70" s="8">
        <v>65</v>
      </c>
      <c r="C70" s="4">
        <v>3</v>
      </c>
      <c r="D70" s="5" t="s">
        <v>528</v>
      </c>
      <c r="E70" s="17"/>
      <c r="F70" s="153">
        <v>0.19</v>
      </c>
      <c r="G70" s="27" t="s">
        <v>55</v>
      </c>
      <c r="H70" s="21">
        <v>10</v>
      </c>
      <c r="I70" s="20">
        <v>0.13139999999999999</v>
      </c>
      <c r="J70" s="36">
        <v>40</v>
      </c>
      <c r="K70" s="20">
        <v>0.12470000000000001</v>
      </c>
      <c r="L70" s="472">
        <v>1000</v>
      </c>
      <c r="M70" s="20">
        <v>0.11119999999999999</v>
      </c>
      <c r="N70" s="473">
        <v>1000</v>
      </c>
      <c r="O70" s="20">
        <v>9.0999999999999998E-2</v>
      </c>
      <c r="P70" s="473"/>
      <c r="Q70" s="20">
        <v>9.0999999999999998E-2</v>
      </c>
      <c r="R70" s="1628">
        <v>10000</v>
      </c>
      <c r="S70" s="1629"/>
      <c r="T70" s="1629"/>
      <c r="U70" s="1630"/>
      <c r="V70" s="60"/>
      <c r="W70" s="62"/>
      <c r="X70" s="60"/>
      <c r="Y70" s="62"/>
      <c r="Z70" s="61"/>
      <c r="AA70" s="61"/>
      <c r="AB70" s="53"/>
      <c r="AC70" s="74">
        <v>0</v>
      </c>
      <c r="AD70" s="53"/>
      <c r="AE70" s="74">
        <v>0.1</v>
      </c>
      <c r="AF70" s="53"/>
      <c r="AG70" s="74">
        <v>0</v>
      </c>
      <c r="AH70" s="54"/>
      <c r="AI70" s="54"/>
      <c r="AJ70" s="54"/>
      <c r="AK70" s="54"/>
      <c r="AL70" s="54"/>
      <c r="AM70" s="54"/>
      <c r="AN70" s="54"/>
      <c r="AO70" s="10"/>
      <c r="AP70" s="10"/>
    </row>
    <row r="71" spans="1:42" s="6" customFormat="1" ht="15" customHeight="1">
      <c r="A71" s="10"/>
      <c r="B71" s="8">
        <v>66</v>
      </c>
      <c r="C71" s="4">
        <v>3</v>
      </c>
      <c r="D71" s="5" t="s">
        <v>30</v>
      </c>
      <c r="E71" s="17"/>
      <c r="F71" s="153">
        <v>0.19</v>
      </c>
      <c r="G71" s="27" t="s">
        <v>55</v>
      </c>
      <c r="H71" s="21">
        <v>10</v>
      </c>
      <c r="I71" s="20">
        <v>0.13009999999999999</v>
      </c>
      <c r="J71" s="36">
        <v>40</v>
      </c>
      <c r="K71" s="20">
        <v>0.1234</v>
      </c>
      <c r="L71" s="472">
        <v>1000</v>
      </c>
      <c r="M71" s="20">
        <v>0.1101</v>
      </c>
      <c r="N71" s="473">
        <v>1000</v>
      </c>
      <c r="O71" s="20">
        <v>9.01E-2</v>
      </c>
      <c r="P71" s="473"/>
      <c r="Q71" s="20">
        <v>9.01E-2</v>
      </c>
      <c r="R71" s="1628">
        <v>10000</v>
      </c>
      <c r="S71" s="1629"/>
      <c r="T71" s="1629"/>
      <c r="U71" s="1630"/>
      <c r="V71" s="60"/>
      <c r="W71" s="62"/>
      <c r="X71" s="60"/>
      <c r="Y71" s="62"/>
      <c r="Z71" s="61"/>
      <c r="AA71" s="61"/>
      <c r="AB71" s="53"/>
      <c r="AC71" s="74">
        <v>0</v>
      </c>
      <c r="AD71" s="53"/>
      <c r="AE71" s="74">
        <v>0.1</v>
      </c>
      <c r="AF71" s="53"/>
      <c r="AG71" s="74">
        <v>0</v>
      </c>
      <c r="AH71" s="54"/>
      <c r="AI71" s="54"/>
      <c r="AJ71" s="54"/>
      <c r="AK71" s="54"/>
      <c r="AL71" s="54"/>
      <c r="AM71" s="54"/>
      <c r="AN71" s="54"/>
      <c r="AO71" s="10"/>
      <c r="AP71" s="10"/>
    </row>
    <row r="72" spans="1:42" s="6" customFormat="1" ht="15" customHeight="1" thickBot="1">
      <c r="A72" s="10"/>
      <c r="B72" s="8">
        <v>67</v>
      </c>
      <c r="C72" s="4">
        <v>3</v>
      </c>
      <c r="D72" s="855" t="s">
        <v>31</v>
      </c>
      <c r="E72" s="856"/>
      <c r="F72" s="857">
        <v>0.19</v>
      </c>
      <c r="G72" s="858" t="s">
        <v>55</v>
      </c>
      <c r="H72" s="859">
        <v>10</v>
      </c>
      <c r="I72" s="860">
        <v>0.1288</v>
      </c>
      <c r="J72" s="861">
        <v>40</v>
      </c>
      <c r="K72" s="860">
        <v>0.1222</v>
      </c>
      <c r="L72" s="862">
        <v>1000</v>
      </c>
      <c r="M72" s="860">
        <v>0.109</v>
      </c>
      <c r="N72" s="863">
        <v>1000</v>
      </c>
      <c r="O72" s="860">
        <v>8.9200000000000002E-2</v>
      </c>
      <c r="P72" s="863"/>
      <c r="Q72" s="860">
        <v>8.9200000000000002E-2</v>
      </c>
      <c r="R72" s="1634">
        <v>10000</v>
      </c>
      <c r="S72" s="1635"/>
      <c r="T72" s="1635"/>
      <c r="U72" s="1636"/>
      <c r="V72" s="60"/>
      <c r="W72" s="62"/>
      <c r="X72" s="60"/>
      <c r="Y72" s="62"/>
      <c r="Z72" s="61"/>
      <c r="AA72" s="61"/>
      <c r="AB72" s="864"/>
      <c r="AC72" s="865">
        <v>0</v>
      </c>
      <c r="AD72" s="864"/>
      <c r="AE72" s="865">
        <v>0.1</v>
      </c>
      <c r="AF72" s="864"/>
      <c r="AG72" s="865">
        <v>0</v>
      </c>
      <c r="AH72" s="1107"/>
      <c r="AI72" s="1108"/>
      <c r="AJ72" s="1108"/>
      <c r="AK72" s="1108"/>
      <c r="AL72" s="54"/>
      <c r="AM72" s="54"/>
      <c r="AN72" s="54"/>
      <c r="AO72" s="10"/>
      <c r="AP72" s="10"/>
    </row>
    <row r="73" spans="1:42" s="6" customFormat="1" ht="15" customHeight="1" thickTop="1" thickBot="1">
      <c r="A73" s="881">
        <f>Kalkulation_Eigenstrom!$E$15</f>
        <v>1</v>
      </c>
      <c r="B73" s="866">
        <v>68</v>
      </c>
      <c r="C73" s="867">
        <v>4</v>
      </c>
      <c r="D73" s="868" t="s">
        <v>536</v>
      </c>
      <c r="E73" s="869"/>
      <c r="F73" s="870">
        <v>0.19</v>
      </c>
      <c r="G73" s="871" t="s">
        <v>55</v>
      </c>
      <c r="H73" s="872">
        <v>10</v>
      </c>
      <c r="I73" s="885">
        <f>IF(A73=2,Vergütungen_Original!E53,Vergütungen_Original!F53)</f>
        <v>0.1275</v>
      </c>
      <c r="J73" s="873">
        <v>40</v>
      </c>
      <c r="K73" s="888">
        <f>IF(A73=2,Vergütungen_Original!H53,Vergütungen_Original!I53)</f>
        <v>0.124</v>
      </c>
      <c r="L73" s="874">
        <v>1000</v>
      </c>
      <c r="M73" s="888">
        <f>IF(A73=2,Vergütungen_Original!K53,Vergütungen_Original!L53)</f>
        <v>0.1109</v>
      </c>
      <c r="N73" s="875">
        <v>1000</v>
      </c>
      <c r="O73" s="888">
        <f>IF(A73=2,Vergütungen_Original!N53,Vergütungen_Original!O53)</f>
        <v>0</v>
      </c>
      <c r="P73" s="875"/>
      <c r="Q73" s="888">
        <f>IF(A73=2,Vergütungen_Original!T53,Vergütungen_Original!U53)</f>
        <v>8.8300000000000003E-2</v>
      </c>
      <c r="R73" s="1631">
        <f>IF(A73=2,Vergütungen_Original!AA53,Vergütungen_Original!Z53)</f>
        <v>500</v>
      </c>
      <c r="S73" s="1632"/>
      <c r="T73" s="1632"/>
      <c r="U73" s="1633"/>
      <c r="V73" s="876"/>
      <c r="W73" s="877"/>
      <c r="X73" s="876"/>
      <c r="Y73" s="877"/>
      <c r="Z73" s="878"/>
      <c r="AA73" s="878"/>
      <c r="AB73" s="879"/>
      <c r="AC73" s="880">
        <v>0</v>
      </c>
      <c r="AD73" s="879"/>
      <c r="AE73" s="880">
        <v>0</v>
      </c>
      <c r="AF73" s="879"/>
      <c r="AG73" s="880">
        <v>0</v>
      </c>
      <c r="AH73" s="1109">
        <v>10000</v>
      </c>
      <c r="AI73" s="1110">
        <v>100</v>
      </c>
      <c r="AJ73" s="1110">
        <v>10</v>
      </c>
      <c r="AK73" s="1110">
        <v>10000</v>
      </c>
      <c r="AL73" s="867"/>
      <c r="AM73" s="867"/>
      <c r="AN73" s="867"/>
      <c r="AO73" s="10"/>
      <c r="AP73" s="10"/>
    </row>
    <row r="74" spans="1:42" s="6" customFormat="1" ht="15" customHeight="1" thickTop="1" thickBot="1">
      <c r="A74" s="881">
        <f>Kalkulation_Eigenstrom!$E$15</f>
        <v>1</v>
      </c>
      <c r="B74" s="8">
        <v>69</v>
      </c>
      <c r="C74" s="4">
        <v>4</v>
      </c>
      <c r="D74" s="5" t="s">
        <v>32</v>
      </c>
      <c r="E74" s="17"/>
      <c r="F74" s="153">
        <v>0.19</v>
      </c>
      <c r="G74" s="27" t="s">
        <v>55</v>
      </c>
      <c r="H74" s="21">
        <v>10</v>
      </c>
      <c r="I74" s="886">
        <f>IF(A74=2,Vergütungen_Original!E54,Vergütungen_Original!F54)</f>
        <v>0.12690000000000001</v>
      </c>
      <c r="J74" s="36">
        <v>40</v>
      </c>
      <c r="K74" s="889">
        <f>IF(A74=2,Vergütungen_Original!H54,Vergütungen_Original!I54)</f>
        <v>0.1234</v>
      </c>
      <c r="L74" s="472">
        <v>1000</v>
      </c>
      <c r="M74" s="889">
        <f>IF(A74=2,Vergütungen_Original!K54,Vergütungen_Original!L54)</f>
        <v>0.1103</v>
      </c>
      <c r="N74" s="473">
        <v>1000</v>
      </c>
      <c r="O74" s="889">
        <f>IF(A74=2,Vergütungen_Original!N54,Vergütungen_Original!O54)</f>
        <v>0</v>
      </c>
      <c r="P74" s="473"/>
      <c r="Q74" s="889">
        <f>IF(A74=2,Vergütungen_Original!T54,Vergütungen_Original!U54)</f>
        <v>8.7900000000000006E-2</v>
      </c>
      <c r="R74" s="1628">
        <f>IF(A74=2,Vergütungen_Original!AA54,Vergütungen_Original!Z54)</f>
        <v>500</v>
      </c>
      <c r="S74" s="1629"/>
      <c r="T74" s="1629"/>
      <c r="U74" s="1630"/>
      <c r="V74" s="60"/>
      <c r="W74" s="62"/>
      <c r="X74" s="60"/>
      <c r="Y74" s="62"/>
      <c r="Z74" s="61"/>
      <c r="AA74" s="61"/>
      <c r="AB74" s="53"/>
      <c r="AC74" s="74">
        <v>0</v>
      </c>
      <c r="AD74" s="53"/>
      <c r="AE74" s="74">
        <v>0</v>
      </c>
      <c r="AF74" s="53"/>
      <c r="AG74" s="74">
        <v>0</v>
      </c>
      <c r="AH74" s="1105">
        <v>10000</v>
      </c>
      <c r="AI74" s="1103">
        <v>100</v>
      </c>
      <c r="AJ74" s="1103">
        <v>10</v>
      </c>
      <c r="AK74" s="1103">
        <v>10000</v>
      </c>
      <c r="AL74" s="54"/>
      <c r="AM74" s="54"/>
      <c r="AN74" s="54"/>
      <c r="AO74" s="10"/>
      <c r="AP74" s="10"/>
    </row>
    <row r="75" spans="1:42" s="6" customFormat="1" ht="15" customHeight="1" thickTop="1" thickBot="1">
      <c r="A75" s="881">
        <f>Kalkulation_Eigenstrom!$E$15</f>
        <v>1</v>
      </c>
      <c r="B75" s="8">
        <v>70</v>
      </c>
      <c r="C75" s="4">
        <v>4</v>
      </c>
      <c r="D75" s="5" t="s">
        <v>699</v>
      </c>
      <c r="E75" s="17"/>
      <c r="F75" s="153">
        <v>0.19</v>
      </c>
      <c r="G75" s="27" t="s">
        <v>55</v>
      </c>
      <c r="H75" s="21">
        <v>10</v>
      </c>
      <c r="I75" s="886">
        <f>IF(A75=2,Vergütungen_Original!E55,Vergütungen_Original!F55)</f>
        <v>0.1265</v>
      </c>
      <c r="J75" s="36">
        <v>40</v>
      </c>
      <c r="K75" s="889">
        <f>IF(A75=2,Vergütungen_Original!H55,Vergütungen_Original!I55)</f>
        <v>0.1231</v>
      </c>
      <c r="L75" s="472">
        <v>1000</v>
      </c>
      <c r="M75" s="889">
        <f>IF(A75=2,Vergütungen_Original!K55,Vergütungen_Original!L55)</f>
        <v>0.1101</v>
      </c>
      <c r="N75" s="473">
        <v>1000</v>
      </c>
      <c r="O75" s="889">
        <f>IF(A75=2,Vergütungen_Original!N55,Vergütungen_Original!O55)</f>
        <v>0</v>
      </c>
      <c r="P75" s="473"/>
      <c r="Q75" s="889">
        <f>IF(A75=2,Vergütungen_Original!T55,Vergütungen_Original!U55)</f>
        <v>8.7599999999999997E-2</v>
      </c>
      <c r="R75" s="1628">
        <f>IF(A75=2,Vergütungen_Original!AA55,Vergütungen_Original!Z55)</f>
        <v>500</v>
      </c>
      <c r="S75" s="1629"/>
      <c r="T75" s="1629"/>
      <c r="U75" s="1630"/>
      <c r="V75" s="60"/>
      <c r="W75" s="62"/>
      <c r="X75" s="60"/>
      <c r="Y75" s="62"/>
      <c r="Z75" s="61"/>
      <c r="AA75" s="61"/>
      <c r="AB75" s="53"/>
      <c r="AC75" s="74">
        <v>0</v>
      </c>
      <c r="AD75" s="53"/>
      <c r="AE75" s="74">
        <v>0</v>
      </c>
      <c r="AF75" s="53"/>
      <c r="AG75" s="74">
        <v>0</v>
      </c>
      <c r="AH75" s="1105">
        <v>10000</v>
      </c>
      <c r="AI75" s="1103">
        <v>100</v>
      </c>
      <c r="AJ75" s="1103">
        <v>10</v>
      </c>
      <c r="AK75" s="1103">
        <v>10000</v>
      </c>
      <c r="AL75" s="54"/>
      <c r="AM75" s="54"/>
      <c r="AN75" s="54"/>
      <c r="AO75" s="10"/>
      <c r="AP75" s="10"/>
    </row>
    <row r="76" spans="1:42" s="6" customFormat="1" ht="15" customHeight="1" thickTop="1" thickBot="1">
      <c r="A76" s="881">
        <f>Kalkulation_Eigenstrom!$E$15</f>
        <v>1</v>
      </c>
      <c r="B76" s="8">
        <v>71</v>
      </c>
      <c r="C76" s="4">
        <v>4</v>
      </c>
      <c r="D76" s="5" t="s">
        <v>33</v>
      </c>
      <c r="E76" s="17"/>
      <c r="F76" s="153">
        <v>0.19</v>
      </c>
      <c r="G76" s="27" t="s">
        <v>55</v>
      </c>
      <c r="H76" s="21">
        <v>10</v>
      </c>
      <c r="I76" s="886">
        <f>IF(A76=2,Vergütungen_Original!E56,Vergütungen_Original!F56)</f>
        <v>0.12620000000000001</v>
      </c>
      <c r="J76" s="36">
        <v>40</v>
      </c>
      <c r="K76" s="889">
        <f>IF(A76=2,Vergütungen_Original!H56,Vergütungen_Original!I56)</f>
        <v>0.12280000000000001</v>
      </c>
      <c r="L76" s="472">
        <v>1000</v>
      </c>
      <c r="M76" s="889">
        <f>IF(A76=2,Vergütungen_Original!K56,Vergütungen_Original!L56)</f>
        <v>0.10979999999999999</v>
      </c>
      <c r="N76" s="473">
        <v>1000</v>
      </c>
      <c r="O76" s="889">
        <f>IF(A76=2,Vergütungen_Original!N56,Vergütungen_Original!O56)</f>
        <v>0</v>
      </c>
      <c r="P76" s="473"/>
      <c r="Q76" s="889">
        <f>IF(A76=2,Vergütungen_Original!T56,Vergütungen_Original!U56)</f>
        <v>8.7400000000000005E-2</v>
      </c>
      <c r="R76" s="1628">
        <f>IF(A76=2,Vergütungen_Original!AA56,Vergütungen_Original!Z56)</f>
        <v>500</v>
      </c>
      <c r="S76" s="1629"/>
      <c r="T76" s="1629"/>
      <c r="U76" s="1630"/>
      <c r="V76" s="60"/>
      <c r="W76" s="62"/>
      <c r="X76" s="60"/>
      <c r="Y76" s="62"/>
      <c r="Z76" s="61"/>
      <c r="AA76" s="61"/>
      <c r="AB76" s="53"/>
      <c r="AC76" s="74">
        <v>0</v>
      </c>
      <c r="AD76" s="53"/>
      <c r="AE76" s="74">
        <v>0</v>
      </c>
      <c r="AF76" s="53"/>
      <c r="AG76" s="74">
        <v>0</v>
      </c>
      <c r="AH76" s="1105">
        <v>10000</v>
      </c>
      <c r="AI76" s="1103">
        <v>100</v>
      </c>
      <c r="AJ76" s="1103">
        <v>10</v>
      </c>
      <c r="AK76" s="1103">
        <v>10000</v>
      </c>
      <c r="AL76" s="54"/>
      <c r="AM76" s="54"/>
      <c r="AN76" s="54"/>
      <c r="AO76" s="10"/>
      <c r="AP76" s="10"/>
    </row>
    <row r="77" spans="1:42" s="6" customFormat="1" ht="15" customHeight="1" thickTop="1" thickBot="1">
      <c r="A77" s="881">
        <f>Kalkulation_Eigenstrom!$E$15</f>
        <v>1</v>
      </c>
      <c r="B77" s="8">
        <v>72</v>
      </c>
      <c r="C77" s="4">
        <v>4</v>
      </c>
      <c r="D77" s="5" t="s">
        <v>34</v>
      </c>
      <c r="E77" s="17"/>
      <c r="F77" s="153">
        <v>0.19</v>
      </c>
      <c r="G77" s="27" t="s">
        <v>55</v>
      </c>
      <c r="H77" s="21">
        <v>10</v>
      </c>
      <c r="I77" s="886">
        <f>IF(A77=2,Vergütungen_Original!E57,Vergütungen_Original!F57)</f>
        <v>0.12590000000000001</v>
      </c>
      <c r="J77" s="36">
        <v>40</v>
      </c>
      <c r="K77" s="889">
        <f>IF(A77=2,Vergütungen_Original!H57,Vergütungen_Original!I57)</f>
        <v>0.1225</v>
      </c>
      <c r="L77" s="472">
        <v>1000</v>
      </c>
      <c r="M77" s="889">
        <f>IF(A77=2,Vergütungen_Original!K57,Vergütungen_Original!L57)</f>
        <v>0.1095</v>
      </c>
      <c r="N77" s="473">
        <v>1000</v>
      </c>
      <c r="O77" s="889">
        <f>IF(A77=2,Vergütungen_Original!N57,Vergütungen_Original!O57)</f>
        <v>0</v>
      </c>
      <c r="P77" s="473"/>
      <c r="Q77" s="889">
        <f>IF(A77=2,Vergütungen_Original!T57,Vergütungen_Original!U57)</f>
        <v>8.72E-2</v>
      </c>
      <c r="R77" s="1628">
        <f>IF(A77=2,Vergütungen_Original!AA57,Vergütungen_Original!Z57)</f>
        <v>500</v>
      </c>
      <c r="S77" s="1629"/>
      <c r="T77" s="1629"/>
      <c r="U77" s="1630"/>
      <c r="V77" s="60"/>
      <c r="W77" s="62"/>
      <c r="X77" s="60"/>
      <c r="Y77" s="62"/>
      <c r="Z77" s="61"/>
      <c r="AA77" s="61"/>
      <c r="AB77" s="53"/>
      <c r="AC77" s="74">
        <v>0</v>
      </c>
      <c r="AD77" s="53"/>
      <c r="AE77" s="74">
        <v>0</v>
      </c>
      <c r="AF77" s="53"/>
      <c r="AG77" s="74">
        <v>0</v>
      </c>
      <c r="AH77" s="1105">
        <v>10000</v>
      </c>
      <c r="AI77" s="1103">
        <v>100</v>
      </c>
      <c r="AJ77" s="1103">
        <v>10</v>
      </c>
      <c r="AK77" s="1103">
        <v>10000</v>
      </c>
      <c r="AL77" s="54"/>
      <c r="AM77" s="54"/>
      <c r="AN77" s="54"/>
      <c r="AO77" s="10"/>
      <c r="AP77" s="10"/>
    </row>
    <row r="78" spans="1:42" s="6" customFormat="1" ht="15" customHeight="1" thickTop="1" thickBot="1">
      <c r="A78" s="881">
        <f>Kalkulation_Eigenstrom!$E$15</f>
        <v>1</v>
      </c>
      <c r="B78" s="8">
        <v>73</v>
      </c>
      <c r="C78" s="4">
        <v>4</v>
      </c>
      <c r="D78" s="5" t="s">
        <v>700</v>
      </c>
      <c r="E78" s="17"/>
      <c r="F78" s="153">
        <v>0.19</v>
      </c>
      <c r="G78" s="27" t="s">
        <v>55</v>
      </c>
      <c r="H78" s="21">
        <v>10</v>
      </c>
      <c r="I78" s="886">
        <f>IF(A78=2,Vergütungen_Original!E58,Vergütungen_Original!F58)</f>
        <v>0.12559999999999999</v>
      </c>
      <c r="J78" s="36">
        <v>40</v>
      </c>
      <c r="K78" s="889">
        <f>IF(A78=2,Vergütungen_Original!H58,Vergütungen_Original!I58)</f>
        <v>0.1222</v>
      </c>
      <c r="L78" s="472">
        <v>1000</v>
      </c>
      <c r="M78" s="889">
        <f>IF(A78=2,Vergütungen_Original!K58,Vergütungen_Original!L58)</f>
        <v>0.10920000000000001</v>
      </c>
      <c r="N78" s="473">
        <v>1000</v>
      </c>
      <c r="O78" s="889">
        <f>IF(A78=2,Vergütungen_Original!N58,Vergütungen_Original!O58)</f>
        <v>0</v>
      </c>
      <c r="P78" s="473"/>
      <c r="Q78" s="889">
        <f>IF(A78=2,Vergütungen_Original!T58,Vergütungen_Original!U58)</f>
        <v>8.6999999999999994E-2</v>
      </c>
      <c r="R78" s="1628">
        <f>IF(A78=2,Vergütungen_Original!AA58,Vergütungen_Original!Z58)</f>
        <v>500</v>
      </c>
      <c r="S78" s="1629"/>
      <c r="T78" s="1629"/>
      <c r="U78" s="1630"/>
      <c r="V78" s="60"/>
      <c r="W78" s="62"/>
      <c r="X78" s="60"/>
      <c r="Y78" s="62"/>
      <c r="Z78" s="61"/>
      <c r="AA78" s="61"/>
      <c r="AB78" s="53"/>
      <c r="AC78" s="74">
        <v>0</v>
      </c>
      <c r="AD78" s="53"/>
      <c r="AE78" s="74">
        <v>0</v>
      </c>
      <c r="AF78" s="53"/>
      <c r="AG78" s="74">
        <v>0</v>
      </c>
      <c r="AH78" s="1105">
        <v>10000</v>
      </c>
      <c r="AI78" s="1103">
        <v>100</v>
      </c>
      <c r="AJ78" s="1103">
        <v>10</v>
      </c>
      <c r="AK78" s="1103">
        <v>10000</v>
      </c>
      <c r="AL78" s="54"/>
      <c r="AM78" s="54"/>
      <c r="AN78" s="54"/>
      <c r="AO78" s="10"/>
      <c r="AP78" s="10"/>
    </row>
    <row r="79" spans="1:42" s="6" customFormat="1" ht="15" customHeight="1" thickTop="1" thickBot="1">
      <c r="A79" s="881">
        <f>Kalkulation_Eigenstrom!$E$15</f>
        <v>1</v>
      </c>
      <c r="B79" s="8">
        <v>74</v>
      </c>
      <c r="C79" s="4">
        <v>4</v>
      </c>
      <c r="D79" s="5" t="s">
        <v>35</v>
      </c>
      <c r="E79" s="17"/>
      <c r="F79" s="153">
        <v>0.19</v>
      </c>
      <c r="G79" s="27" t="s">
        <v>55</v>
      </c>
      <c r="H79" s="21">
        <v>10</v>
      </c>
      <c r="I79" s="886">
        <f>IF(A79=2,Vergütungen_Original!E59,Vergütungen_Original!F59)</f>
        <v>0.12529999999999999</v>
      </c>
      <c r="J79" s="36">
        <v>40</v>
      </c>
      <c r="K79" s="889">
        <f>IF(A79=2,Vergütungen_Original!H59,Vergütungen_Original!I59)</f>
        <v>0.12180000000000001</v>
      </c>
      <c r="L79" s="472">
        <v>1000</v>
      </c>
      <c r="M79" s="889">
        <f>IF(A79=2,Vergütungen_Original!K59,Vergütungen_Original!L59)</f>
        <v>0.109</v>
      </c>
      <c r="N79" s="473">
        <v>1000</v>
      </c>
      <c r="O79" s="889">
        <f>IF(A79=2,Vergütungen_Original!N59,Vergütungen_Original!O59)</f>
        <v>0</v>
      </c>
      <c r="P79" s="473"/>
      <c r="Q79" s="889">
        <f>IF(A79=2,Vergütungen_Original!T59,Vergütungen_Original!U59)</f>
        <v>8.6800000000000002E-2</v>
      </c>
      <c r="R79" s="1628">
        <f>IF(A79=2,Vergütungen_Original!AA59,Vergütungen_Original!Z59)</f>
        <v>500</v>
      </c>
      <c r="S79" s="1629"/>
      <c r="T79" s="1629"/>
      <c r="U79" s="1630"/>
      <c r="V79" s="60"/>
      <c r="W79" s="62"/>
      <c r="X79" s="60"/>
      <c r="Y79" s="62"/>
      <c r="Z79" s="61"/>
      <c r="AA79" s="61"/>
      <c r="AB79" s="53"/>
      <c r="AC79" s="74">
        <v>0</v>
      </c>
      <c r="AD79" s="53"/>
      <c r="AE79" s="74">
        <v>0</v>
      </c>
      <c r="AF79" s="53"/>
      <c r="AG79" s="74">
        <v>0</v>
      </c>
      <c r="AH79" s="1105">
        <v>10000</v>
      </c>
      <c r="AI79" s="1103">
        <v>100</v>
      </c>
      <c r="AJ79" s="1103">
        <v>10</v>
      </c>
      <c r="AK79" s="1103">
        <v>10000</v>
      </c>
      <c r="AL79" s="54"/>
      <c r="AM79" s="54"/>
      <c r="AN79" s="54"/>
      <c r="AO79" s="10"/>
      <c r="AP79" s="10"/>
    </row>
    <row r="80" spans="1:42" s="6" customFormat="1" ht="15" customHeight="1" thickTop="1" thickBot="1">
      <c r="A80" s="881">
        <f>Kalkulation_Eigenstrom!$E$15</f>
        <v>1</v>
      </c>
      <c r="B80" s="8">
        <v>75</v>
      </c>
      <c r="C80" s="4">
        <v>4</v>
      </c>
      <c r="D80" s="5" t="s">
        <v>36</v>
      </c>
      <c r="E80" s="17"/>
      <c r="F80" s="153">
        <v>0.19</v>
      </c>
      <c r="G80" s="27" t="s">
        <v>55</v>
      </c>
      <c r="H80" s="21">
        <v>10</v>
      </c>
      <c r="I80" s="886">
        <f>IF(A80=2,Vergütungen_Original!E60,Vergütungen_Original!F60)</f>
        <v>0.125</v>
      </c>
      <c r="J80" s="36">
        <v>40</v>
      </c>
      <c r="K80" s="889">
        <f>IF(A80=2,Vergütungen_Original!H60,Vergütungen_Original!I60)</f>
        <v>0.1215</v>
      </c>
      <c r="L80" s="472">
        <v>1000</v>
      </c>
      <c r="M80" s="889">
        <f>IF(A80=2,Vergütungen_Original!K60,Vergütungen_Original!L60)</f>
        <v>0.1087</v>
      </c>
      <c r="N80" s="473">
        <v>1000</v>
      </c>
      <c r="O80" s="889">
        <f>IF(A80=2,Vergütungen_Original!N60,Vergütungen_Original!O60)</f>
        <v>0</v>
      </c>
      <c r="P80" s="473"/>
      <c r="Q80" s="889">
        <f>IF(A80=2,Vergütungen_Original!T60,Vergütungen_Original!U60)</f>
        <v>8.6499999999999994E-2</v>
      </c>
      <c r="R80" s="1628">
        <f>IF(A80=2,Vergütungen_Original!AA60,Vergütungen_Original!Z60)</f>
        <v>500</v>
      </c>
      <c r="S80" s="1629"/>
      <c r="T80" s="1629"/>
      <c r="U80" s="1630"/>
      <c r="V80" s="60"/>
      <c r="W80" s="62"/>
      <c r="X80" s="60"/>
      <c r="Y80" s="62"/>
      <c r="Z80" s="61"/>
      <c r="AA80" s="61"/>
      <c r="AB80" s="53"/>
      <c r="AC80" s="74">
        <v>0</v>
      </c>
      <c r="AD80" s="53"/>
      <c r="AE80" s="74">
        <v>0</v>
      </c>
      <c r="AF80" s="53"/>
      <c r="AG80" s="74">
        <v>0</v>
      </c>
      <c r="AH80" s="1105">
        <v>10000</v>
      </c>
      <c r="AI80" s="1103">
        <v>100</v>
      </c>
      <c r="AJ80" s="1103">
        <v>10</v>
      </c>
      <c r="AK80" s="1103">
        <v>10000</v>
      </c>
      <c r="AL80" s="54"/>
      <c r="AM80" s="54"/>
      <c r="AN80" s="54"/>
      <c r="AO80" s="10"/>
      <c r="AP80" s="10"/>
    </row>
    <row r="81" spans="1:42" s="6" customFormat="1" ht="15" customHeight="1" thickTop="1" thickBot="1">
      <c r="A81" s="881">
        <f>Kalkulation_Eigenstrom!$E$15</f>
        <v>1</v>
      </c>
      <c r="B81" s="8">
        <v>76</v>
      </c>
      <c r="C81" s="4">
        <v>4</v>
      </c>
      <c r="D81" s="5" t="s">
        <v>704</v>
      </c>
      <c r="E81" s="17"/>
      <c r="F81" s="153">
        <v>0.19</v>
      </c>
      <c r="G81" s="27" t="s">
        <v>55</v>
      </c>
      <c r="H81" s="21">
        <v>10</v>
      </c>
      <c r="I81" s="886">
        <f>IF(A81=2,Vergütungen_Original!E61,Vergütungen_Original!F61)</f>
        <v>0.12470000000000001</v>
      </c>
      <c r="J81" s="36">
        <v>40</v>
      </c>
      <c r="K81" s="889">
        <f>IF(A81=2,Vergütungen_Original!H61,Vergütungen_Original!I61)</f>
        <v>0.1212</v>
      </c>
      <c r="L81" s="472">
        <v>1000</v>
      </c>
      <c r="M81" s="889">
        <f>IF(A81=2,Vergütungen_Original!K61,Vergütungen_Original!L61)</f>
        <v>0.1084</v>
      </c>
      <c r="N81" s="473">
        <v>1000</v>
      </c>
      <c r="O81" s="889">
        <f>IF(A81=2,Vergütungen_Original!N61,Vergütungen_Original!O61)</f>
        <v>0</v>
      </c>
      <c r="P81" s="473"/>
      <c r="Q81" s="889">
        <f>IF(A81=2,Vergütungen_Original!T61,Vergütungen_Original!U61)</f>
        <v>8.6300000000000002E-2</v>
      </c>
      <c r="R81" s="1628">
        <f>IF(A81=2,Vergütungen_Original!AA61,Vergütungen_Original!Z61)</f>
        <v>500</v>
      </c>
      <c r="S81" s="1629"/>
      <c r="T81" s="1629"/>
      <c r="U81" s="1630"/>
      <c r="V81" s="60"/>
      <c r="W81" s="62"/>
      <c r="X81" s="60"/>
      <c r="Y81" s="62"/>
      <c r="Z81" s="61"/>
      <c r="AA81" s="61"/>
      <c r="AB81" s="53"/>
      <c r="AC81" s="74">
        <v>0</v>
      </c>
      <c r="AD81" s="53"/>
      <c r="AE81" s="74">
        <v>0</v>
      </c>
      <c r="AF81" s="53"/>
      <c r="AG81" s="74">
        <v>0</v>
      </c>
      <c r="AH81" s="1105">
        <v>10000</v>
      </c>
      <c r="AI81" s="1103">
        <v>100</v>
      </c>
      <c r="AJ81" s="1103">
        <v>10</v>
      </c>
      <c r="AK81" s="1103">
        <v>10000</v>
      </c>
      <c r="AL81" s="54"/>
      <c r="AM81" s="54"/>
      <c r="AN81" s="54"/>
      <c r="AO81" s="10"/>
      <c r="AP81" s="10"/>
    </row>
    <row r="82" spans="1:42" s="6" customFormat="1" ht="15" customHeight="1" thickTop="1" thickBot="1">
      <c r="A82" s="881">
        <f>Kalkulation_Eigenstrom!$E$15</f>
        <v>1</v>
      </c>
      <c r="B82" s="8">
        <v>77</v>
      </c>
      <c r="C82" s="4">
        <v>4</v>
      </c>
      <c r="D82" s="5" t="s">
        <v>9</v>
      </c>
      <c r="E82" s="17"/>
      <c r="F82" s="153">
        <v>0.19</v>
      </c>
      <c r="G82" s="27" t="s">
        <v>55</v>
      </c>
      <c r="H82" s="21">
        <v>10</v>
      </c>
      <c r="I82" s="886">
        <f>IF(A82=2,Vergütungen_Original!E62,Vergütungen_Original!F62)</f>
        <v>0.12429999999999999</v>
      </c>
      <c r="J82" s="36">
        <v>40</v>
      </c>
      <c r="K82" s="889">
        <f>IF(A82=2,Vergütungen_Original!H62,Vergütungen_Original!I62)</f>
        <v>0.12089999999999999</v>
      </c>
      <c r="L82" s="472">
        <v>1000</v>
      </c>
      <c r="M82" s="889">
        <f>IF(A82=2,Vergütungen_Original!K62,Vergütungen_Original!L62)</f>
        <v>0.1082</v>
      </c>
      <c r="N82" s="473">
        <v>1000</v>
      </c>
      <c r="O82" s="889">
        <f>IF(A82=2,Vergütungen_Original!N62,Vergütungen_Original!O62)</f>
        <v>0</v>
      </c>
      <c r="P82" s="473"/>
      <c r="Q82" s="889">
        <f>IF(A82=2,Vergütungen_Original!T62,Vergütungen_Original!U62)</f>
        <v>8.6099999999999996E-2</v>
      </c>
      <c r="R82" s="1628">
        <f>IF(A82=2,Vergütungen_Original!AA62,Vergütungen_Original!Z62)</f>
        <v>500</v>
      </c>
      <c r="S82" s="1629"/>
      <c r="T82" s="1629"/>
      <c r="U82" s="1630"/>
      <c r="V82" s="60"/>
      <c r="W82" s="62"/>
      <c r="X82" s="60"/>
      <c r="Y82" s="62"/>
      <c r="Z82" s="61"/>
      <c r="AA82" s="61"/>
      <c r="AB82" s="53"/>
      <c r="AC82" s="74">
        <v>0</v>
      </c>
      <c r="AD82" s="53"/>
      <c r="AE82" s="74">
        <v>0</v>
      </c>
      <c r="AF82" s="53"/>
      <c r="AG82" s="74">
        <v>0</v>
      </c>
      <c r="AH82" s="1105">
        <v>10000</v>
      </c>
      <c r="AI82" s="1103">
        <v>100</v>
      </c>
      <c r="AJ82" s="1103">
        <v>10</v>
      </c>
      <c r="AK82" s="1103">
        <v>10000</v>
      </c>
      <c r="AL82" s="54"/>
      <c r="AM82" s="54"/>
      <c r="AN82" s="54"/>
      <c r="AO82" s="10"/>
      <c r="AP82" s="10"/>
    </row>
    <row r="83" spans="1:42" s="6" customFormat="1" ht="15" customHeight="1" thickTop="1" thickBot="1">
      <c r="A83" s="881">
        <f>Kalkulation_Eigenstrom!$E$15</f>
        <v>1</v>
      </c>
      <c r="B83" s="8">
        <v>78</v>
      </c>
      <c r="C83" s="4">
        <v>4</v>
      </c>
      <c r="D83" s="5" t="s">
        <v>37</v>
      </c>
      <c r="E83" s="17"/>
      <c r="F83" s="153">
        <v>0.19</v>
      </c>
      <c r="G83" s="27" t="s">
        <v>55</v>
      </c>
      <c r="H83" s="21">
        <v>10</v>
      </c>
      <c r="I83" s="886">
        <f>IF(A83=2,Vergütungen_Original!E63,Vergütungen_Original!F63)</f>
        <v>0.124</v>
      </c>
      <c r="J83" s="36">
        <v>40</v>
      </c>
      <c r="K83" s="889">
        <f>IF(A83=2,Vergütungen_Original!H63,Vergütungen_Original!I63)</f>
        <v>0.1206</v>
      </c>
      <c r="L83" s="472">
        <v>1000</v>
      </c>
      <c r="M83" s="889">
        <f>IF(A83=2,Vergütungen_Original!K63,Vergütungen_Original!L63)</f>
        <v>0.1079</v>
      </c>
      <c r="N83" s="473">
        <v>1000</v>
      </c>
      <c r="O83" s="889">
        <f>IF(A83=2,Vergütungen_Original!N63,Vergütungen_Original!O63)</f>
        <v>0</v>
      </c>
      <c r="P83" s="473"/>
      <c r="Q83" s="889">
        <f>IF(A83=2,Vergütungen_Original!T63,Vergütungen_Original!U63)</f>
        <v>8.5900000000000004E-2</v>
      </c>
      <c r="R83" s="1628">
        <f>IF(A83=2,Vergütungen_Original!AA63,Vergütungen_Original!Z63)</f>
        <v>500</v>
      </c>
      <c r="S83" s="1629"/>
      <c r="T83" s="1629"/>
      <c r="U83" s="1630"/>
      <c r="V83" s="60"/>
      <c r="W83" s="62"/>
      <c r="X83" s="60"/>
      <c r="Y83" s="62"/>
      <c r="Z83" s="61"/>
      <c r="AA83" s="61"/>
      <c r="AB83" s="53"/>
      <c r="AC83" s="74">
        <v>0</v>
      </c>
      <c r="AD83" s="53"/>
      <c r="AE83" s="74">
        <v>0</v>
      </c>
      <c r="AF83" s="53"/>
      <c r="AG83" s="74">
        <v>0</v>
      </c>
      <c r="AH83" s="1105">
        <v>10000</v>
      </c>
      <c r="AI83" s="1103">
        <v>100</v>
      </c>
      <c r="AJ83" s="1103">
        <v>10</v>
      </c>
      <c r="AK83" s="1103">
        <v>10000</v>
      </c>
      <c r="AL83" s="54"/>
      <c r="AM83" s="54"/>
      <c r="AN83" s="54"/>
      <c r="AO83" s="10"/>
      <c r="AP83" s="10"/>
    </row>
    <row r="84" spans="1:42" s="6" customFormat="1" ht="15" customHeight="1" thickTop="1" thickBot="1">
      <c r="A84" s="881">
        <f>Kalkulation_Eigenstrom!$E$15</f>
        <v>1</v>
      </c>
      <c r="B84" s="8">
        <v>79</v>
      </c>
      <c r="C84" s="4">
        <v>4</v>
      </c>
      <c r="D84" s="5" t="s">
        <v>705</v>
      </c>
      <c r="E84" s="17"/>
      <c r="F84" s="153">
        <v>0.19</v>
      </c>
      <c r="G84" s="27" t="s">
        <v>55</v>
      </c>
      <c r="H84" s="21">
        <v>10</v>
      </c>
      <c r="I84" s="886">
        <f>IF(A84=2,Vergütungen_Original!E64,Vergütungen_Original!F64)</f>
        <v>0.1237</v>
      </c>
      <c r="J84" s="36">
        <v>40</v>
      </c>
      <c r="K84" s="889">
        <f>IF(A84=2,Vergütungen_Original!H64,Vergütungen_Original!I64)</f>
        <v>0.1203</v>
      </c>
      <c r="L84" s="472">
        <v>1000</v>
      </c>
      <c r="M84" s="889">
        <f>IF(A84=2,Vergütungen_Original!K64,Vergütungen_Original!L64)</f>
        <v>0.1076</v>
      </c>
      <c r="N84" s="473">
        <v>1000</v>
      </c>
      <c r="O84" s="889">
        <f>IF(A84=2,Vergütungen_Original!N64,Vergütungen_Original!O64)</f>
        <v>0</v>
      </c>
      <c r="P84" s="473"/>
      <c r="Q84" s="889">
        <f>IF(A84=2,Vergütungen_Original!T64,Vergütungen_Original!U64)</f>
        <v>8.5699999999999998E-2</v>
      </c>
      <c r="R84" s="1628">
        <f>IF(A84=2,Vergütungen_Original!AA64,Vergütungen_Original!Z64)</f>
        <v>500</v>
      </c>
      <c r="S84" s="1629"/>
      <c r="T84" s="1629"/>
      <c r="U84" s="1630"/>
      <c r="V84" s="60"/>
      <c r="W84" s="62"/>
      <c r="X84" s="60"/>
      <c r="Y84" s="62"/>
      <c r="Z84" s="61"/>
      <c r="AA84" s="61"/>
      <c r="AB84" s="53"/>
      <c r="AC84" s="74">
        <v>0</v>
      </c>
      <c r="AD84" s="53"/>
      <c r="AE84" s="74">
        <v>0</v>
      </c>
      <c r="AF84" s="53"/>
      <c r="AG84" s="74">
        <v>0</v>
      </c>
      <c r="AH84" s="1105">
        <v>10000</v>
      </c>
      <c r="AI84" s="1103">
        <v>100</v>
      </c>
      <c r="AJ84" s="1103">
        <v>10</v>
      </c>
      <c r="AK84" s="1103">
        <v>10000</v>
      </c>
      <c r="AL84" s="54"/>
      <c r="AM84" s="54"/>
      <c r="AN84" s="54"/>
      <c r="AO84" s="10"/>
      <c r="AP84" s="10"/>
    </row>
    <row r="85" spans="1:42" s="6" customFormat="1" ht="15" customHeight="1" thickTop="1" thickBot="1">
      <c r="A85" s="881">
        <f>Kalkulation_Eigenstrom!$E$15</f>
        <v>1</v>
      </c>
      <c r="B85" s="8">
        <v>80</v>
      </c>
      <c r="C85" s="4">
        <v>4</v>
      </c>
      <c r="D85" s="5" t="s">
        <v>38</v>
      </c>
      <c r="E85" s="17"/>
      <c r="F85" s="153">
        <v>0.19</v>
      </c>
      <c r="G85" s="27" t="s">
        <v>55</v>
      </c>
      <c r="H85" s="21">
        <v>10</v>
      </c>
      <c r="I85" s="886">
        <f>IF(A85=2,Vergütungen_Original!E65,Vergütungen_Original!F65)</f>
        <v>0.1234</v>
      </c>
      <c r="J85" s="36">
        <v>40</v>
      </c>
      <c r="K85" s="889">
        <f>IF(A85=2,Vergütungen_Original!H65,Vergütungen_Original!I65)</f>
        <v>0.12</v>
      </c>
      <c r="L85" s="472">
        <v>1000</v>
      </c>
      <c r="M85" s="889">
        <f>IF(A85=2,Vergütungen_Original!K65,Vergütungen_Original!L65)</f>
        <v>0.10730000000000001</v>
      </c>
      <c r="N85" s="473">
        <v>1000</v>
      </c>
      <c r="O85" s="889">
        <f>IF(A85=2,Vergütungen_Original!N65,Vergütungen_Original!O65)</f>
        <v>0</v>
      </c>
      <c r="P85" s="473"/>
      <c r="Q85" s="889">
        <f>IF(A85=2,Vergütungen_Original!T65,Vergütungen_Original!U65)</f>
        <v>8.5500000000000007E-2</v>
      </c>
      <c r="R85" s="1628">
        <f>IF(A85=2,Vergütungen_Original!AA65,Vergütungen_Original!Z65)</f>
        <v>500</v>
      </c>
      <c r="S85" s="1629"/>
      <c r="T85" s="1629"/>
      <c r="U85" s="1630"/>
      <c r="V85" s="60"/>
      <c r="W85" s="62"/>
      <c r="X85" s="60"/>
      <c r="Y85" s="62"/>
      <c r="Z85" s="61"/>
      <c r="AA85" s="61"/>
      <c r="AB85" s="53"/>
      <c r="AC85" s="74">
        <v>0</v>
      </c>
      <c r="AD85" s="53"/>
      <c r="AE85" s="74">
        <v>0</v>
      </c>
      <c r="AF85" s="53"/>
      <c r="AG85" s="74">
        <v>0</v>
      </c>
      <c r="AH85" s="1105">
        <v>10000</v>
      </c>
      <c r="AI85" s="1103">
        <v>100</v>
      </c>
      <c r="AJ85" s="1103">
        <v>10</v>
      </c>
      <c r="AK85" s="1103">
        <v>10000</v>
      </c>
      <c r="AL85" s="54"/>
      <c r="AM85" s="54"/>
      <c r="AN85" s="54"/>
      <c r="AO85" s="10"/>
      <c r="AP85" s="10"/>
    </row>
    <row r="86" spans="1:42" s="6" customFormat="1" ht="15" customHeight="1" thickTop="1" thickBot="1">
      <c r="A86" s="881">
        <f>Kalkulation_Eigenstrom!$E$15</f>
        <v>1</v>
      </c>
      <c r="B86" s="8">
        <v>81</v>
      </c>
      <c r="C86" s="4">
        <v>4</v>
      </c>
      <c r="D86" s="5" t="s">
        <v>39</v>
      </c>
      <c r="E86" s="17"/>
      <c r="F86" s="153">
        <v>0.19</v>
      </c>
      <c r="G86" s="27" t="s">
        <v>55</v>
      </c>
      <c r="H86" s="21">
        <v>10</v>
      </c>
      <c r="I86" s="886">
        <f>IF(A86=2,Vergütungen_Original!E66,Vergütungen_Original!F66)</f>
        <v>0.1231</v>
      </c>
      <c r="J86" s="36">
        <v>40</v>
      </c>
      <c r="K86" s="889">
        <f>IF(A86=2,Vergütungen_Original!H66,Vergütungen_Original!I66)</f>
        <v>0.1197</v>
      </c>
      <c r="L86" s="472">
        <v>1000</v>
      </c>
      <c r="M86" s="889">
        <f>IF(A86=2,Vergütungen_Original!K66,Vergütungen_Original!L66)</f>
        <v>0.1071</v>
      </c>
      <c r="N86" s="473">
        <v>1000</v>
      </c>
      <c r="O86" s="889">
        <f>IF(A86=2,Vergütungen_Original!N66,Vergütungen_Original!O66)</f>
        <v>0</v>
      </c>
      <c r="P86" s="473"/>
      <c r="Q86" s="889">
        <f>IF(A86=2,Vergütungen_Original!T66,Vergütungen_Original!U66)</f>
        <v>8.5300000000000001E-2</v>
      </c>
      <c r="R86" s="1628">
        <f>IF(A86=2,Vergütungen_Original!AA66,Vergütungen_Original!Z66)</f>
        <v>500</v>
      </c>
      <c r="S86" s="1629"/>
      <c r="T86" s="1629"/>
      <c r="U86" s="1630"/>
      <c r="V86" s="60"/>
      <c r="W86" s="62"/>
      <c r="X86" s="60"/>
      <c r="Y86" s="62"/>
      <c r="Z86" s="61"/>
      <c r="AA86" s="61"/>
      <c r="AB86" s="53"/>
      <c r="AC86" s="74">
        <v>0</v>
      </c>
      <c r="AD86" s="53"/>
      <c r="AE86" s="74">
        <v>0</v>
      </c>
      <c r="AF86" s="53"/>
      <c r="AG86" s="74">
        <v>0</v>
      </c>
      <c r="AH86" s="1105">
        <v>10000</v>
      </c>
      <c r="AI86" s="1103">
        <v>100</v>
      </c>
      <c r="AJ86" s="1103">
        <v>10</v>
      </c>
      <c r="AK86" s="1103">
        <v>10000</v>
      </c>
      <c r="AL86" s="54"/>
      <c r="AM86" s="54"/>
      <c r="AN86" s="54"/>
      <c r="AO86" s="10"/>
      <c r="AP86" s="10"/>
    </row>
    <row r="87" spans="1:42" s="6" customFormat="1" ht="15" customHeight="1" thickTop="1" thickBot="1">
      <c r="A87" s="881">
        <f>Kalkulation_Eigenstrom!$E$15</f>
        <v>1</v>
      </c>
      <c r="B87" s="8">
        <v>82</v>
      </c>
      <c r="C87" s="4">
        <v>4</v>
      </c>
      <c r="D87" s="5" t="s">
        <v>706</v>
      </c>
      <c r="E87" s="17"/>
      <c r="F87" s="153">
        <v>0.19</v>
      </c>
      <c r="G87" s="27" t="s">
        <v>55</v>
      </c>
      <c r="H87" s="21">
        <v>10</v>
      </c>
      <c r="I87" s="886">
        <f>IF(A87=2,Vergütungen_Original!E67,Vergütungen_Original!F67)</f>
        <v>0.1231</v>
      </c>
      <c r="J87" s="36">
        <v>40</v>
      </c>
      <c r="K87" s="889">
        <f>IF(A87=2,Vergütungen_Original!H67,Vergütungen_Original!I67)</f>
        <v>0.1197</v>
      </c>
      <c r="L87" s="472">
        <v>1000</v>
      </c>
      <c r="M87" s="889">
        <f>IF(A87=2,Vergütungen_Original!K67,Vergütungen_Original!L67)</f>
        <v>0.1071</v>
      </c>
      <c r="N87" s="473">
        <v>1000</v>
      </c>
      <c r="O87" s="889">
        <f>IF(A87=2,Vergütungen_Original!N67,Vergütungen_Original!O67)</f>
        <v>0</v>
      </c>
      <c r="P87" s="473"/>
      <c r="Q87" s="889">
        <f>IF(A87=2,Vergütungen_Original!T67,Vergütungen_Original!U67)</f>
        <v>8.5300000000000001E-2</v>
      </c>
      <c r="R87" s="1628">
        <f>IF(A87=2,Vergütungen_Original!AA67,Vergütungen_Original!Z67)</f>
        <v>500</v>
      </c>
      <c r="S87" s="1629"/>
      <c r="T87" s="1629"/>
      <c r="U87" s="1630"/>
      <c r="V87" s="60"/>
      <c r="W87" s="62"/>
      <c r="X87" s="60"/>
      <c r="Y87" s="62"/>
      <c r="Z87" s="61"/>
      <c r="AA87" s="61"/>
      <c r="AB87" s="53"/>
      <c r="AC87" s="74">
        <v>0</v>
      </c>
      <c r="AD87" s="53"/>
      <c r="AE87" s="74">
        <v>0</v>
      </c>
      <c r="AF87" s="53"/>
      <c r="AG87" s="74">
        <v>0</v>
      </c>
      <c r="AH87" s="1105">
        <v>10000</v>
      </c>
      <c r="AI87" s="1103">
        <v>100</v>
      </c>
      <c r="AJ87" s="1103">
        <v>10</v>
      </c>
      <c r="AK87" s="1103">
        <v>10000</v>
      </c>
      <c r="AL87" s="54"/>
      <c r="AM87" s="54"/>
      <c r="AN87" s="54"/>
      <c r="AO87" s="10"/>
      <c r="AP87" s="10"/>
    </row>
    <row r="88" spans="1:42" s="6" customFormat="1" ht="15" customHeight="1" thickTop="1" thickBot="1">
      <c r="A88" s="881">
        <f>Kalkulation_Eigenstrom!$E$15</f>
        <v>1</v>
      </c>
      <c r="B88" s="8">
        <v>83</v>
      </c>
      <c r="C88" s="4">
        <v>4</v>
      </c>
      <c r="D88" s="5" t="s">
        <v>40</v>
      </c>
      <c r="E88" s="17"/>
      <c r="F88" s="153">
        <v>0.19</v>
      </c>
      <c r="G88" s="27" t="s">
        <v>55</v>
      </c>
      <c r="H88" s="21">
        <v>10</v>
      </c>
      <c r="I88" s="886">
        <f>IF(A88=2,Vergütungen_Original!E68,Vergütungen_Original!F68)</f>
        <v>0.1231</v>
      </c>
      <c r="J88" s="36">
        <v>40</v>
      </c>
      <c r="K88" s="889">
        <f>IF(A88=2,Vergütungen_Original!H68,Vergütungen_Original!I68)</f>
        <v>0.1197</v>
      </c>
      <c r="L88" s="472">
        <v>1000</v>
      </c>
      <c r="M88" s="889">
        <f>IF(A88=2,Vergütungen_Original!K68,Vergütungen_Original!L68)</f>
        <v>0.1071</v>
      </c>
      <c r="N88" s="473">
        <v>1000</v>
      </c>
      <c r="O88" s="889">
        <f>IF(A88=2,Vergütungen_Original!N68,Vergütungen_Original!O68)</f>
        <v>0</v>
      </c>
      <c r="P88" s="473"/>
      <c r="Q88" s="889">
        <f>IF(A88=2,Vergütungen_Original!T68,Vergütungen_Original!U68)</f>
        <v>8.5300000000000001E-2</v>
      </c>
      <c r="R88" s="1628">
        <f>IF(A88=2,Vergütungen_Original!AA68,Vergütungen_Original!Z68)</f>
        <v>500</v>
      </c>
      <c r="S88" s="1629"/>
      <c r="T88" s="1629"/>
      <c r="U88" s="1630"/>
      <c r="V88" s="60"/>
      <c r="W88" s="62"/>
      <c r="X88" s="60"/>
      <c r="Y88" s="62"/>
      <c r="Z88" s="61"/>
      <c r="AA88" s="61"/>
      <c r="AB88" s="53"/>
      <c r="AC88" s="74">
        <v>0</v>
      </c>
      <c r="AD88" s="53"/>
      <c r="AE88" s="74">
        <v>0</v>
      </c>
      <c r="AF88" s="53"/>
      <c r="AG88" s="74">
        <v>0</v>
      </c>
      <c r="AH88" s="1105">
        <v>10000</v>
      </c>
      <c r="AI88" s="1103">
        <v>100</v>
      </c>
      <c r="AJ88" s="1103">
        <v>10</v>
      </c>
      <c r="AK88" s="1103">
        <v>10000</v>
      </c>
      <c r="AL88" s="54"/>
      <c r="AM88" s="54"/>
      <c r="AN88" s="54"/>
      <c r="AO88" s="10"/>
      <c r="AP88" s="10"/>
    </row>
    <row r="89" spans="1:42" s="6" customFormat="1" ht="15" customHeight="1" thickTop="1" thickBot="1">
      <c r="A89" s="881">
        <f>Kalkulation_Eigenstrom!$E$15</f>
        <v>1</v>
      </c>
      <c r="B89" s="8">
        <v>84</v>
      </c>
      <c r="C89" s="4">
        <v>4</v>
      </c>
      <c r="D89" s="5" t="s">
        <v>41</v>
      </c>
      <c r="E89" s="17"/>
      <c r="F89" s="153">
        <v>0.19</v>
      </c>
      <c r="G89" s="27" t="s">
        <v>55</v>
      </c>
      <c r="H89" s="21">
        <v>10</v>
      </c>
      <c r="I89" s="886">
        <f>IF(A89=2,Vergütungen_Original!E69,Vergütungen_Original!F69)</f>
        <v>0.1231</v>
      </c>
      <c r="J89" s="36">
        <v>40</v>
      </c>
      <c r="K89" s="889">
        <f>IF(A89=2,Vergütungen_Original!H69,Vergütungen_Original!I69)</f>
        <v>0.1197</v>
      </c>
      <c r="L89" s="472">
        <v>1000</v>
      </c>
      <c r="M89" s="889">
        <f>IF(A89=2,Vergütungen_Original!K69,Vergütungen_Original!L69)</f>
        <v>0.1071</v>
      </c>
      <c r="N89" s="473">
        <v>1000</v>
      </c>
      <c r="O89" s="889">
        <f>IF(A89=2,Vergütungen_Original!N69,Vergütungen_Original!O69)</f>
        <v>0</v>
      </c>
      <c r="P89" s="473"/>
      <c r="Q89" s="889">
        <f>IF(A89=2,Vergütungen_Original!T69,Vergütungen_Original!U69)</f>
        <v>8.5300000000000001E-2</v>
      </c>
      <c r="R89" s="1628">
        <f>IF(A89=2,Vergütungen_Original!AA69,Vergütungen_Original!Z69)</f>
        <v>500</v>
      </c>
      <c r="S89" s="1629"/>
      <c r="T89" s="1629"/>
      <c r="U89" s="1630"/>
      <c r="V89" s="60"/>
      <c r="W89" s="62"/>
      <c r="X89" s="60"/>
      <c r="Y89" s="62"/>
      <c r="Z89" s="61"/>
      <c r="AA89" s="61"/>
      <c r="AB89" s="53"/>
      <c r="AC89" s="74">
        <v>0</v>
      </c>
      <c r="AD89" s="53"/>
      <c r="AE89" s="74">
        <v>0</v>
      </c>
      <c r="AF89" s="53"/>
      <c r="AG89" s="74">
        <v>0</v>
      </c>
      <c r="AH89" s="1105">
        <v>10000</v>
      </c>
      <c r="AI89" s="1103">
        <v>100</v>
      </c>
      <c r="AJ89" s="1103">
        <v>10</v>
      </c>
      <c r="AK89" s="1103">
        <v>10000</v>
      </c>
      <c r="AL89" s="54"/>
      <c r="AM89" s="54"/>
      <c r="AN89" s="54"/>
      <c r="AO89" s="10"/>
      <c r="AP89" s="10"/>
    </row>
    <row r="90" spans="1:42" s="6" customFormat="1" ht="15" customHeight="1" thickTop="1" thickBot="1">
      <c r="A90" s="881">
        <f>Kalkulation_Eigenstrom!$E$15</f>
        <v>1</v>
      </c>
      <c r="B90" s="8">
        <v>85</v>
      </c>
      <c r="C90" s="4">
        <v>4</v>
      </c>
      <c r="D90" s="5" t="s">
        <v>868</v>
      </c>
      <c r="E90" s="17"/>
      <c r="F90" s="153">
        <v>0.19</v>
      </c>
      <c r="G90" s="27" t="s">
        <v>55</v>
      </c>
      <c r="H90" s="21">
        <v>10</v>
      </c>
      <c r="I90" s="886">
        <f>IF(A90=2,Vergütungen_Original!E70,Vergütungen_Original!F70)</f>
        <v>0.1231</v>
      </c>
      <c r="J90" s="36">
        <v>40</v>
      </c>
      <c r="K90" s="889">
        <f>IF(A90=2,Vergütungen_Original!H70,Vergütungen_Original!I70)</f>
        <v>0.1197</v>
      </c>
      <c r="L90" s="472">
        <v>1000</v>
      </c>
      <c r="M90" s="889">
        <f>IF(A90=2,Vergütungen_Original!K70,Vergütungen_Original!L70)</f>
        <v>0.1071</v>
      </c>
      <c r="N90" s="473">
        <v>1000</v>
      </c>
      <c r="O90" s="889">
        <f>IF(A90=2,Vergütungen_Original!N70,Vergütungen_Original!O70)</f>
        <v>0</v>
      </c>
      <c r="P90" s="473"/>
      <c r="Q90" s="889">
        <f>IF(A90=2,Vergütungen_Original!T70,Vergütungen_Original!U70)</f>
        <v>8.5300000000000001E-2</v>
      </c>
      <c r="R90" s="1628">
        <f>IF(A90=2,Vergütungen_Original!AA70,Vergütungen_Original!Z70)</f>
        <v>100</v>
      </c>
      <c r="S90" s="1629"/>
      <c r="T90" s="1629"/>
      <c r="U90" s="1630"/>
      <c r="V90" s="60"/>
      <c r="W90" s="62"/>
      <c r="X90" s="60"/>
      <c r="Y90" s="62"/>
      <c r="Z90" s="61"/>
      <c r="AA90" s="61"/>
      <c r="AB90" s="53"/>
      <c r="AC90" s="74">
        <v>0</v>
      </c>
      <c r="AD90" s="53"/>
      <c r="AE90" s="74">
        <v>0</v>
      </c>
      <c r="AF90" s="53"/>
      <c r="AG90" s="74">
        <v>0</v>
      </c>
      <c r="AH90" s="1105">
        <v>10000</v>
      </c>
      <c r="AI90" s="1103">
        <v>100</v>
      </c>
      <c r="AJ90" s="1103">
        <v>10</v>
      </c>
      <c r="AK90" s="1103">
        <v>10000</v>
      </c>
      <c r="AL90" s="54"/>
      <c r="AM90" s="54"/>
      <c r="AN90" s="54"/>
      <c r="AO90" s="10"/>
      <c r="AP90" s="10"/>
    </row>
    <row r="91" spans="1:42" s="6" customFormat="1" ht="15" customHeight="1" thickTop="1" thickBot="1">
      <c r="A91" s="881">
        <f>Kalkulation_Eigenstrom!$E$15</f>
        <v>1</v>
      </c>
      <c r="B91" s="8">
        <v>86</v>
      </c>
      <c r="C91" s="4">
        <v>4</v>
      </c>
      <c r="D91" s="5" t="s">
        <v>43</v>
      </c>
      <c r="E91" s="17"/>
      <c r="F91" s="153">
        <v>0.19</v>
      </c>
      <c r="G91" s="27" t="s">
        <v>55</v>
      </c>
      <c r="H91" s="21">
        <v>10</v>
      </c>
      <c r="I91" s="886">
        <f>IF(A91=2,Vergütungen_Original!E71,Vergütungen_Original!F71)</f>
        <v>0.1231</v>
      </c>
      <c r="J91" s="36">
        <v>40</v>
      </c>
      <c r="K91" s="889">
        <f>IF(A91=2,Vergütungen_Original!H71,Vergütungen_Original!I71)</f>
        <v>0.1197</v>
      </c>
      <c r="L91" s="472">
        <v>1000</v>
      </c>
      <c r="M91" s="889">
        <f>IF(A91=2,Vergütungen_Original!K71,Vergütungen_Original!L71)</f>
        <v>0.1071</v>
      </c>
      <c r="N91" s="473">
        <v>1000</v>
      </c>
      <c r="O91" s="889">
        <f>IF(A91=2,Vergütungen_Original!N71,Vergütungen_Original!O71)</f>
        <v>0</v>
      </c>
      <c r="P91" s="473"/>
      <c r="Q91" s="889">
        <f>IF(A91=2,Vergütungen_Original!T71,Vergütungen_Original!U71)</f>
        <v>8.5300000000000001E-2</v>
      </c>
      <c r="R91" s="1628">
        <f>IF(A91=2,Vergütungen_Original!AA71,Vergütungen_Original!Z71)</f>
        <v>100</v>
      </c>
      <c r="S91" s="1629"/>
      <c r="T91" s="1629"/>
      <c r="U91" s="1630"/>
      <c r="V91" s="60"/>
      <c r="W91" s="62"/>
      <c r="X91" s="60"/>
      <c r="Y91" s="62"/>
      <c r="Z91" s="61"/>
      <c r="AA91" s="61"/>
      <c r="AB91" s="53"/>
      <c r="AC91" s="74">
        <v>0</v>
      </c>
      <c r="AD91" s="53"/>
      <c r="AE91" s="74">
        <v>0</v>
      </c>
      <c r="AF91" s="53"/>
      <c r="AG91" s="74">
        <v>0</v>
      </c>
      <c r="AH91" s="1105">
        <v>10000</v>
      </c>
      <c r="AI91" s="1103">
        <v>100</v>
      </c>
      <c r="AJ91" s="1103">
        <v>10</v>
      </c>
      <c r="AK91" s="1103">
        <v>10000</v>
      </c>
      <c r="AL91" s="54"/>
      <c r="AM91" s="54"/>
      <c r="AN91" s="54"/>
      <c r="AO91" s="10"/>
      <c r="AP91" s="10"/>
    </row>
    <row r="92" spans="1:42" s="6" customFormat="1" ht="15" customHeight="1" thickTop="1" thickBot="1">
      <c r="A92" s="881">
        <f>Kalkulation_Eigenstrom!$E$15</f>
        <v>1</v>
      </c>
      <c r="B92" s="8">
        <v>87</v>
      </c>
      <c r="C92" s="4">
        <v>4</v>
      </c>
      <c r="D92" s="5" t="s">
        <v>44</v>
      </c>
      <c r="E92" s="17"/>
      <c r="F92" s="153">
        <v>0.19</v>
      </c>
      <c r="G92" s="27" t="s">
        <v>55</v>
      </c>
      <c r="H92" s="21">
        <v>10</v>
      </c>
      <c r="I92" s="886">
        <f>IF(A92=2,Vergütungen_Original!E72,Vergütungen_Original!F72)</f>
        <v>0.1231</v>
      </c>
      <c r="J92" s="36">
        <v>40</v>
      </c>
      <c r="K92" s="889">
        <f>IF(A92=2,Vergütungen_Original!H72,Vergütungen_Original!I72)</f>
        <v>0.1197</v>
      </c>
      <c r="L92" s="472">
        <v>1000</v>
      </c>
      <c r="M92" s="889">
        <f>IF(A92=2,Vergütungen_Original!K72,Vergütungen_Original!L72)</f>
        <v>0.1071</v>
      </c>
      <c r="N92" s="473">
        <v>1000</v>
      </c>
      <c r="O92" s="889">
        <f>IF(A92=2,Vergütungen_Original!N72,Vergütungen_Original!O72)</f>
        <v>0</v>
      </c>
      <c r="P92" s="473"/>
      <c r="Q92" s="889">
        <f>IF(A92=2,Vergütungen_Original!T72,Vergütungen_Original!U72)</f>
        <v>8.5300000000000001E-2</v>
      </c>
      <c r="R92" s="1628">
        <f>IF(A92=2,Vergütungen_Original!AA72,Vergütungen_Original!Z72)</f>
        <v>100</v>
      </c>
      <c r="S92" s="1629"/>
      <c r="T92" s="1629"/>
      <c r="U92" s="1630"/>
      <c r="V92" s="60"/>
      <c r="W92" s="62"/>
      <c r="X92" s="60"/>
      <c r="Y92" s="62"/>
      <c r="Z92" s="61"/>
      <c r="AA92" s="61"/>
      <c r="AB92" s="53"/>
      <c r="AC92" s="74">
        <v>0</v>
      </c>
      <c r="AD92" s="53"/>
      <c r="AE92" s="74">
        <v>0</v>
      </c>
      <c r="AF92" s="53"/>
      <c r="AG92" s="74">
        <v>0</v>
      </c>
      <c r="AH92" s="1105">
        <v>10000</v>
      </c>
      <c r="AI92" s="1103">
        <v>100</v>
      </c>
      <c r="AJ92" s="1103">
        <v>10</v>
      </c>
      <c r="AK92" s="1103">
        <v>10000</v>
      </c>
      <c r="AL92" s="54"/>
      <c r="AM92" s="54"/>
      <c r="AN92" s="54"/>
      <c r="AO92" s="10"/>
      <c r="AP92" s="10"/>
    </row>
    <row r="93" spans="1:42" s="6" customFormat="1" ht="15" customHeight="1" thickTop="1" thickBot="1">
      <c r="A93" s="881">
        <f>Kalkulation_Eigenstrom!$E$15</f>
        <v>1</v>
      </c>
      <c r="B93" s="8">
        <v>88</v>
      </c>
      <c r="C93" s="4">
        <v>4</v>
      </c>
      <c r="D93" s="5" t="s">
        <v>880</v>
      </c>
      <c r="E93" s="17"/>
      <c r="F93" s="153">
        <v>0.19</v>
      </c>
      <c r="G93" s="27" t="s">
        <v>55</v>
      </c>
      <c r="H93" s="21">
        <v>10</v>
      </c>
      <c r="I93" s="886">
        <f>IF(A93=2,Vergütungen_Original!E73,Vergütungen_Original!F73)</f>
        <v>0.1231</v>
      </c>
      <c r="J93" s="36">
        <v>40</v>
      </c>
      <c r="K93" s="889">
        <f>IF(A93=2,Vergütungen_Original!H73,Vergütungen_Original!I73)</f>
        <v>0.1197</v>
      </c>
      <c r="L93" s="472">
        <v>1000</v>
      </c>
      <c r="M93" s="889">
        <f>IF(A93=2,Vergütungen_Original!K73,Vergütungen_Original!L73)</f>
        <v>0.1071</v>
      </c>
      <c r="N93" s="473">
        <v>1000</v>
      </c>
      <c r="O93" s="889">
        <f>IF(A93=2,Vergütungen_Original!N73,Vergütungen_Original!O73)</f>
        <v>0</v>
      </c>
      <c r="P93" s="473"/>
      <c r="Q93" s="889">
        <f>IF(A93=2,Vergütungen_Original!T73,Vergütungen_Original!U73)</f>
        <v>8.5300000000000001E-2</v>
      </c>
      <c r="R93" s="1628">
        <f>IF(A93=2,Vergütungen_Original!AA73,Vergütungen_Original!Z73)</f>
        <v>100</v>
      </c>
      <c r="S93" s="1629"/>
      <c r="T93" s="1629"/>
      <c r="U93" s="1630"/>
      <c r="V93" s="60"/>
      <c r="W93" s="62"/>
      <c r="X93" s="60"/>
      <c r="Y93" s="62"/>
      <c r="Z93" s="61"/>
      <c r="AA93" s="61"/>
      <c r="AB93" s="53"/>
      <c r="AC93" s="74">
        <v>0</v>
      </c>
      <c r="AD93" s="53"/>
      <c r="AE93" s="74">
        <v>0</v>
      </c>
      <c r="AF93" s="53"/>
      <c r="AG93" s="74">
        <v>0</v>
      </c>
      <c r="AH93" s="1105">
        <v>10000</v>
      </c>
      <c r="AI93" s="1103">
        <v>100</v>
      </c>
      <c r="AJ93" s="1103">
        <v>10</v>
      </c>
      <c r="AK93" s="1103">
        <v>10000</v>
      </c>
      <c r="AL93" s="54"/>
      <c r="AM93" s="54"/>
      <c r="AN93" s="54"/>
      <c r="AO93" s="10"/>
      <c r="AP93" s="10"/>
    </row>
    <row r="94" spans="1:42" s="6" customFormat="1" ht="15" customHeight="1" thickTop="1" thickBot="1">
      <c r="A94" s="881">
        <f>Kalkulation_Eigenstrom!$E$15</f>
        <v>1</v>
      </c>
      <c r="B94" s="8">
        <v>89</v>
      </c>
      <c r="C94" s="4">
        <v>4</v>
      </c>
      <c r="D94" s="5" t="s">
        <v>10</v>
      </c>
      <c r="E94" s="17"/>
      <c r="F94" s="153">
        <v>0.19</v>
      </c>
      <c r="G94" s="27" t="s">
        <v>55</v>
      </c>
      <c r="H94" s="21">
        <v>10</v>
      </c>
      <c r="I94" s="886">
        <f>IF(A94=2,Vergütungen_Original!E74,Vergütungen_Original!F74)</f>
        <v>0.1231</v>
      </c>
      <c r="J94" s="36">
        <v>40</v>
      </c>
      <c r="K94" s="889">
        <f>IF(A94=2,Vergütungen_Original!H74,Vergütungen_Original!I74)</f>
        <v>0.1197</v>
      </c>
      <c r="L94" s="472">
        <v>1000</v>
      </c>
      <c r="M94" s="889">
        <f>IF(A94=2,Vergütungen_Original!K74,Vergütungen_Original!L74)</f>
        <v>0.1071</v>
      </c>
      <c r="N94" s="473">
        <v>1000</v>
      </c>
      <c r="O94" s="889">
        <f>IF(A94=2,Vergütungen_Original!N74,Vergütungen_Original!O74)</f>
        <v>0</v>
      </c>
      <c r="P94" s="473"/>
      <c r="Q94" s="889">
        <f>IF(A94=2,Vergütungen_Original!T74,Vergütungen_Original!U74)</f>
        <v>8.5300000000000001E-2</v>
      </c>
      <c r="R94" s="1628">
        <f>IF(A94=2,Vergütungen_Original!AA74,Vergütungen_Original!Z74)</f>
        <v>100</v>
      </c>
      <c r="S94" s="1629"/>
      <c r="T94" s="1629"/>
      <c r="U94" s="1630"/>
      <c r="V94" s="60"/>
      <c r="W94" s="62"/>
      <c r="X94" s="60"/>
      <c r="Y94" s="62"/>
      <c r="Z94" s="61"/>
      <c r="AA94" s="61"/>
      <c r="AB94" s="53"/>
      <c r="AC94" s="74">
        <v>0</v>
      </c>
      <c r="AD94" s="53"/>
      <c r="AE94" s="74">
        <v>0</v>
      </c>
      <c r="AF94" s="53"/>
      <c r="AG94" s="74">
        <v>0</v>
      </c>
      <c r="AH94" s="1105">
        <v>10000</v>
      </c>
      <c r="AI94" s="1103">
        <v>100</v>
      </c>
      <c r="AJ94" s="1103">
        <v>10</v>
      </c>
      <c r="AK94" s="1103">
        <v>10000</v>
      </c>
      <c r="AL94" s="54"/>
      <c r="AM94" s="54"/>
      <c r="AN94" s="54"/>
      <c r="AO94" s="10"/>
      <c r="AP94" s="10"/>
    </row>
    <row r="95" spans="1:42" s="6" customFormat="1" ht="15" customHeight="1" thickTop="1" thickBot="1">
      <c r="A95" s="881">
        <f>Kalkulation_Eigenstrom!$E$15</f>
        <v>1</v>
      </c>
      <c r="B95" s="8">
        <v>90</v>
      </c>
      <c r="C95" s="4">
        <v>4</v>
      </c>
      <c r="D95" s="5" t="s">
        <v>45</v>
      </c>
      <c r="E95" s="17"/>
      <c r="F95" s="153">
        <v>0.19</v>
      </c>
      <c r="G95" s="27" t="s">
        <v>55</v>
      </c>
      <c r="H95" s="21">
        <v>10</v>
      </c>
      <c r="I95" s="886">
        <f>IF(A95=2,Vergütungen_Original!E75,Vergütungen_Original!F75)</f>
        <v>0.1231</v>
      </c>
      <c r="J95" s="36">
        <v>40</v>
      </c>
      <c r="K95" s="889">
        <f>IF(A95=2,Vergütungen_Original!H75,Vergütungen_Original!I75)</f>
        <v>0.1197</v>
      </c>
      <c r="L95" s="472">
        <v>1000</v>
      </c>
      <c r="M95" s="889">
        <f>IF(A95=2,Vergütungen_Original!K75,Vergütungen_Original!L75)</f>
        <v>0.1071</v>
      </c>
      <c r="N95" s="473">
        <v>1000</v>
      </c>
      <c r="O95" s="889">
        <f>IF(A95=2,Vergütungen_Original!N75,Vergütungen_Original!O75)</f>
        <v>0</v>
      </c>
      <c r="P95" s="473"/>
      <c r="Q95" s="889">
        <f>IF(A95=2,Vergütungen_Original!T75,Vergütungen_Original!U75)</f>
        <v>8.5300000000000001E-2</v>
      </c>
      <c r="R95" s="1628">
        <f>IF(A95=2,Vergütungen_Original!AA75,Vergütungen_Original!Z75)</f>
        <v>100</v>
      </c>
      <c r="S95" s="1629"/>
      <c r="T95" s="1629"/>
      <c r="U95" s="1630"/>
      <c r="V95" s="60"/>
      <c r="W95" s="62"/>
      <c r="X95" s="60"/>
      <c r="Y95" s="62"/>
      <c r="Z95" s="61"/>
      <c r="AA95" s="61"/>
      <c r="AB95" s="53"/>
      <c r="AC95" s="74">
        <v>0</v>
      </c>
      <c r="AD95" s="53"/>
      <c r="AE95" s="74">
        <v>0</v>
      </c>
      <c r="AF95" s="53"/>
      <c r="AG95" s="74">
        <v>0</v>
      </c>
      <c r="AH95" s="1105">
        <v>10000</v>
      </c>
      <c r="AI95" s="1103">
        <v>100</v>
      </c>
      <c r="AJ95" s="1103">
        <v>10</v>
      </c>
      <c r="AK95" s="1103">
        <v>10000</v>
      </c>
      <c r="AL95" s="54"/>
      <c r="AM95" s="54"/>
      <c r="AN95" s="54"/>
      <c r="AO95" s="10"/>
      <c r="AP95" s="10"/>
    </row>
    <row r="96" spans="1:42" s="6" customFormat="1" ht="15" customHeight="1" thickTop="1" thickBot="1">
      <c r="A96" s="881">
        <f>Kalkulation_Eigenstrom!$E$15</f>
        <v>1</v>
      </c>
      <c r="B96" s="8">
        <v>91</v>
      </c>
      <c r="C96" s="4">
        <v>4</v>
      </c>
      <c r="D96" s="5" t="s">
        <v>46</v>
      </c>
      <c r="E96" s="17"/>
      <c r="F96" s="153">
        <v>0.19</v>
      </c>
      <c r="G96" s="27" t="s">
        <v>55</v>
      </c>
      <c r="H96" s="21">
        <v>10</v>
      </c>
      <c r="I96" s="886">
        <f>IF(A96=2,Vergütungen_Original!E76,Vergütungen_Original!F76)</f>
        <v>0.1231</v>
      </c>
      <c r="J96" s="36">
        <v>40</v>
      </c>
      <c r="K96" s="889">
        <f>IF(A96=2,Vergütungen_Original!H76,Vergütungen_Original!I76)</f>
        <v>0.1197</v>
      </c>
      <c r="L96" s="472">
        <v>1000</v>
      </c>
      <c r="M96" s="889">
        <f>IF(A96=2,Vergütungen_Original!K76,Vergütungen_Original!L76)</f>
        <v>0.1071</v>
      </c>
      <c r="N96" s="473">
        <v>1000</v>
      </c>
      <c r="O96" s="889">
        <f>IF(A96=2,Vergütungen_Original!N76,Vergütungen_Original!O76)</f>
        <v>0</v>
      </c>
      <c r="P96" s="473"/>
      <c r="Q96" s="889">
        <f>IF(A96=2,Vergütungen_Original!T76,Vergütungen_Original!U76)</f>
        <v>8.5300000000000001E-2</v>
      </c>
      <c r="R96" s="1628">
        <f>IF(A96=2,Vergütungen_Original!AA76,Vergütungen_Original!Z76)</f>
        <v>100</v>
      </c>
      <c r="S96" s="1629"/>
      <c r="T96" s="1629"/>
      <c r="U96" s="1630"/>
      <c r="V96" s="60"/>
      <c r="W96" s="62"/>
      <c r="X96" s="60"/>
      <c r="Y96" s="62"/>
      <c r="Z96" s="61"/>
      <c r="AA96" s="61"/>
      <c r="AB96" s="53"/>
      <c r="AC96" s="74">
        <v>0</v>
      </c>
      <c r="AD96" s="53"/>
      <c r="AE96" s="74">
        <v>0</v>
      </c>
      <c r="AF96" s="53"/>
      <c r="AG96" s="74">
        <v>0</v>
      </c>
      <c r="AH96" s="1105">
        <v>10000</v>
      </c>
      <c r="AI96" s="1103">
        <v>100</v>
      </c>
      <c r="AJ96" s="1103">
        <v>10</v>
      </c>
      <c r="AK96" s="1103">
        <v>10000</v>
      </c>
      <c r="AL96" s="54"/>
      <c r="AM96" s="54"/>
      <c r="AN96" s="54"/>
      <c r="AO96" s="10"/>
      <c r="AP96" s="10"/>
    </row>
    <row r="97" spans="1:42" s="6" customFormat="1" ht="15" customHeight="1" thickTop="1" thickBot="1">
      <c r="A97" s="881">
        <f>Kalkulation_Eigenstrom!$E$15</f>
        <v>1</v>
      </c>
      <c r="B97" s="8">
        <v>92</v>
      </c>
      <c r="C97" s="4">
        <v>4</v>
      </c>
      <c r="D97" s="5" t="s">
        <v>47</v>
      </c>
      <c r="E97" s="17"/>
      <c r="F97" s="153">
        <v>0.19</v>
      </c>
      <c r="G97" s="27" t="s">
        <v>55</v>
      </c>
      <c r="H97" s="21">
        <v>10</v>
      </c>
      <c r="I97" s="886">
        <f>IF(A97=2,Vergütungen_Original!E77,Vergütungen_Original!F77)</f>
        <v>0.1231</v>
      </c>
      <c r="J97" s="36">
        <v>40</v>
      </c>
      <c r="K97" s="889">
        <f>IF(A97=2,Vergütungen_Original!H77,Vergütungen_Original!I77)</f>
        <v>0.1197</v>
      </c>
      <c r="L97" s="472">
        <v>1000</v>
      </c>
      <c r="M97" s="889">
        <f>IF(A97=2,Vergütungen_Original!K77,Vergütungen_Original!L77)</f>
        <v>0.1071</v>
      </c>
      <c r="N97" s="473">
        <v>1000</v>
      </c>
      <c r="O97" s="889">
        <f>IF(A97=2,Vergütungen_Original!N77,Vergütungen_Original!O77)</f>
        <v>0</v>
      </c>
      <c r="P97" s="473"/>
      <c r="Q97" s="889">
        <f>IF(A97=2,Vergütungen_Original!T77,Vergütungen_Original!U77)</f>
        <v>8.5300000000000001E-2</v>
      </c>
      <c r="R97" s="1628">
        <f>IF(A97=2,Vergütungen_Original!AA77,Vergütungen_Original!Z77)</f>
        <v>100</v>
      </c>
      <c r="S97" s="1629"/>
      <c r="T97" s="1629"/>
      <c r="U97" s="1630"/>
      <c r="V97" s="60"/>
      <c r="W97" s="62"/>
      <c r="X97" s="60"/>
      <c r="Y97" s="62"/>
      <c r="Z97" s="61"/>
      <c r="AA97" s="61"/>
      <c r="AB97" s="53"/>
      <c r="AC97" s="74">
        <v>0</v>
      </c>
      <c r="AD97" s="53"/>
      <c r="AE97" s="74">
        <v>0</v>
      </c>
      <c r="AF97" s="53"/>
      <c r="AG97" s="74">
        <v>0</v>
      </c>
      <c r="AH97" s="1105">
        <v>10000</v>
      </c>
      <c r="AI97" s="1103">
        <v>100</v>
      </c>
      <c r="AJ97" s="1103">
        <v>10</v>
      </c>
      <c r="AK97" s="1103">
        <v>10000</v>
      </c>
      <c r="AL97" s="54"/>
      <c r="AM97" s="54"/>
      <c r="AN97" s="54"/>
      <c r="AO97" s="10"/>
      <c r="AP97" s="10"/>
    </row>
    <row r="98" spans="1:42" s="6" customFormat="1" ht="15" customHeight="1" thickTop="1" thickBot="1">
      <c r="A98" s="881">
        <f>Kalkulation_Eigenstrom!$E$15</f>
        <v>1</v>
      </c>
      <c r="B98" s="8">
        <v>93</v>
      </c>
      <c r="C98" s="4">
        <v>4</v>
      </c>
      <c r="D98" s="5" t="s">
        <v>48</v>
      </c>
      <c r="E98" s="17"/>
      <c r="F98" s="153">
        <v>0.19</v>
      </c>
      <c r="G98" s="27" t="s">
        <v>55</v>
      </c>
      <c r="H98" s="21">
        <v>10</v>
      </c>
      <c r="I98" s="886">
        <f>IF(A98=2,Vergütungen_Original!E78,Vergütungen_Original!F78)</f>
        <v>0.1231</v>
      </c>
      <c r="J98" s="36">
        <v>40</v>
      </c>
      <c r="K98" s="889">
        <f>IF(A98=2,Vergütungen_Original!H78,Vergütungen_Original!I78)</f>
        <v>0.1197</v>
      </c>
      <c r="L98" s="472">
        <v>1000</v>
      </c>
      <c r="M98" s="889">
        <f>IF(A98=2,Vergütungen_Original!K78,Vergütungen_Original!L78)</f>
        <v>0.1071</v>
      </c>
      <c r="N98" s="473">
        <v>1000</v>
      </c>
      <c r="O98" s="889">
        <f>IF(A98=2,Vergütungen_Original!N78,Vergütungen_Original!O78)</f>
        <v>0</v>
      </c>
      <c r="P98" s="473"/>
      <c r="Q98" s="889">
        <f>IF(A98=2,Vergütungen_Original!T78,Vergütungen_Original!U78)</f>
        <v>8.5300000000000001E-2</v>
      </c>
      <c r="R98" s="1628">
        <f>IF(A98=2,Vergütungen_Original!AA78,Vergütungen_Original!Z78)</f>
        <v>100</v>
      </c>
      <c r="S98" s="1629"/>
      <c r="T98" s="1629"/>
      <c r="U98" s="1630"/>
      <c r="V98" s="60"/>
      <c r="W98" s="62"/>
      <c r="X98" s="60"/>
      <c r="Y98" s="62"/>
      <c r="Z98" s="61"/>
      <c r="AA98" s="61"/>
      <c r="AB98" s="53"/>
      <c r="AC98" s="74">
        <v>0</v>
      </c>
      <c r="AD98" s="53"/>
      <c r="AE98" s="74">
        <v>0</v>
      </c>
      <c r="AF98" s="53"/>
      <c r="AG98" s="74">
        <v>0</v>
      </c>
      <c r="AH98" s="1105">
        <v>10000</v>
      </c>
      <c r="AI98" s="1103">
        <v>100</v>
      </c>
      <c r="AJ98" s="1103">
        <v>10</v>
      </c>
      <c r="AK98" s="1103">
        <v>10000</v>
      </c>
      <c r="AL98" s="54"/>
      <c r="AM98" s="54"/>
      <c r="AN98" s="54"/>
      <c r="AO98" s="10"/>
      <c r="AP98" s="10"/>
    </row>
    <row r="99" spans="1:42" s="6" customFormat="1" ht="15" customHeight="1" thickTop="1" thickBot="1">
      <c r="A99" s="881">
        <f>Kalkulation_Eigenstrom!$E$15</f>
        <v>1</v>
      </c>
      <c r="B99" s="8">
        <v>94</v>
      </c>
      <c r="C99" s="4">
        <v>4</v>
      </c>
      <c r="D99" s="5" t="s">
        <v>49</v>
      </c>
      <c r="E99" s="17"/>
      <c r="F99" s="153">
        <v>0.19</v>
      </c>
      <c r="G99" s="27" t="s">
        <v>55</v>
      </c>
      <c r="H99" s="21">
        <v>10</v>
      </c>
      <c r="I99" s="886">
        <f>IF(A99=2,Vergütungen_Original!E79,Vergütungen_Original!F79)</f>
        <v>0.1231</v>
      </c>
      <c r="J99" s="36">
        <v>40</v>
      </c>
      <c r="K99" s="889">
        <f>IF(A99=2,Vergütungen_Original!H79,Vergütungen_Original!I79)</f>
        <v>0.1197</v>
      </c>
      <c r="L99" s="472">
        <v>1000</v>
      </c>
      <c r="M99" s="889">
        <f>IF(A99=2,Vergütungen_Original!K79,Vergütungen_Original!L79)</f>
        <v>0.1071</v>
      </c>
      <c r="N99" s="473">
        <v>1000</v>
      </c>
      <c r="O99" s="889">
        <f>IF(A99=2,Vergütungen_Original!N79,Vergütungen_Original!O79)</f>
        <v>0</v>
      </c>
      <c r="P99" s="473"/>
      <c r="Q99" s="889">
        <f>IF(A99=2,Vergütungen_Original!T79,Vergütungen_Original!U79)</f>
        <v>8.5300000000000001E-2</v>
      </c>
      <c r="R99" s="1628">
        <f>IF(A99=2,Vergütungen_Original!AA79,Vergütungen_Original!Z79)</f>
        <v>100</v>
      </c>
      <c r="S99" s="1629"/>
      <c r="T99" s="1629"/>
      <c r="U99" s="1630"/>
      <c r="V99" s="60"/>
      <c r="W99" s="62"/>
      <c r="X99" s="60"/>
      <c r="Y99" s="62"/>
      <c r="Z99" s="61"/>
      <c r="AA99" s="61"/>
      <c r="AB99" s="53"/>
      <c r="AC99" s="74">
        <v>0</v>
      </c>
      <c r="AD99" s="53"/>
      <c r="AE99" s="74">
        <v>0</v>
      </c>
      <c r="AF99" s="53"/>
      <c r="AG99" s="74">
        <v>0</v>
      </c>
      <c r="AH99" s="1105">
        <v>10000</v>
      </c>
      <c r="AI99" s="1103">
        <v>100</v>
      </c>
      <c r="AJ99" s="1103">
        <v>10</v>
      </c>
      <c r="AK99" s="1103">
        <v>10000</v>
      </c>
      <c r="AL99" s="54"/>
      <c r="AM99" s="54"/>
      <c r="AN99" s="54"/>
      <c r="AO99" s="10"/>
      <c r="AP99" s="10"/>
    </row>
    <row r="100" spans="1:42" s="6" customFormat="1" ht="15" customHeight="1" thickTop="1" thickBot="1">
      <c r="A100" s="881">
        <f>Kalkulation_Eigenstrom!$E$15</f>
        <v>1</v>
      </c>
      <c r="B100" s="8">
        <v>95</v>
      </c>
      <c r="C100" s="4">
        <v>4</v>
      </c>
      <c r="D100" s="5" t="s">
        <v>50</v>
      </c>
      <c r="E100" s="17"/>
      <c r="F100" s="153">
        <v>0.19</v>
      </c>
      <c r="G100" s="27" t="s">
        <v>55</v>
      </c>
      <c r="H100" s="21">
        <v>10</v>
      </c>
      <c r="I100" s="886">
        <f>IF(A100=2,Vergütungen_Original!E80,Vergütungen_Original!F80)</f>
        <v>0.1231</v>
      </c>
      <c r="J100" s="36">
        <v>40</v>
      </c>
      <c r="K100" s="889">
        <f>IF(A100=2,Vergütungen_Original!H80,Vergütungen_Original!I80)</f>
        <v>0.1197</v>
      </c>
      <c r="L100" s="472">
        <v>1000</v>
      </c>
      <c r="M100" s="889">
        <f>IF(A100=2,Vergütungen_Original!K80,Vergütungen_Original!L80)</f>
        <v>0.1071</v>
      </c>
      <c r="N100" s="473">
        <v>1000</v>
      </c>
      <c r="O100" s="889">
        <f>IF(A100=2,Vergütungen_Original!N80,Vergütungen_Original!O80)</f>
        <v>0</v>
      </c>
      <c r="P100" s="473"/>
      <c r="Q100" s="889">
        <f>IF(A100=2,Vergütungen_Original!T80,Vergütungen_Original!U80)</f>
        <v>8.5300000000000001E-2</v>
      </c>
      <c r="R100" s="1628">
        <f>IF(A100=2,Vergütungen_Original!AA80,Vergütungen_Original!Z80)</f>
        <v>100</v>
      </c>
      <c r="S100" s="1629"/>
      <c r="T100" s="1629"/>
      <c r="U100" s="1630"/>
      <c r="V100" s="60"/>
      <c r="W100" s="62"/>
      <c r="X100" s="60"/>
      <c r="Y100" s="62"/>
      <c r="Z100" s="61"/>
      <c r="AA100" s="61"/>
      <c r="AB100" s="53"/>
      <c r="AC100" s="74">
        <v>0</v>
      </c>
      <c r="AD100" s="53"/>
      <c r="AE100" s="74">
        <v>0</v>
      </c>
      <c r="AF100" s="53"/>
      <c r="AG100" s="74">
        <v>0</v>
      </c>
      <c r="AH100" s="1105">
        <v>10000</v>
      </c>
      <c r="AI100" s="1103">
        <v>100</v>
      </c>
      <c r="AJ100" s="1103">
        <v>10</v>
      </c>
      <c r="AK100" s="1103">
        <v>10000</v>
      </c>
      <c r="AL100" s="54"/>
      <c r="AM100" s="54"/>
      <c r="AN100" s="54"/>
      <c r="AO100" s="10"/>
      <c r="AP100" s="10"/>
    </row>
    <row r="101" spans="1:42" s="6" customFormat="1" ht="15" customHeight="1" thickTop="1" thickBot="1">
      <c r="A101" s="881">
        <f>Kalkulation_Eigenstrom!$E$15</f>
        <v>1</v>
      </c>
      <c r="B101" s="8">
        <v>96</v>
      </c>
      <c r="C101" s="4">
        <v>4</v>
      </c>
      <c r="D101" s="5" t="s">
        <v>51</v>
      </c>
      <c r="E101" s="17"/>
      <c r="F101" s="153">
        <v>0.19</v>
      </c>
      <c r="G101" s="27" t="s">
        <v>55</v>
      </c>
      <c r="H101" s="21">
        <v>10</v>
      </c>
      <c r="I101" s="886">
        <f>IF(A101=2,Vergütungen_Original!E81,Vergütungen_Original!F81)</f>
        <v>0.1231</v>
      </c>
      <c r="J101" s="36">
        <v>40</v>
      </c>
      <c r="K101" s="889">
        <f>IF(A101=2,Vergütungen_Original!H81,Vergütungen_Original!I81)</f>
        <v>0.1197</v>
      </c>
      <c r="L101" s="472">
        <v>1000</v>
      </c>
      <c r="M101" s="889">
        <f>IF(A101=2,Vergütungen_Original!K81,Vergütungen_Original!L81)</f>
        <v>0.1071</v>
      </c>
      <c r="N101" s="473">
        <v>1000</v>
      </c>
      <c r="O101" s="889">
        <f>IF(A101=2,Vergütungen_Original!N81,Vergütungen_Original!O81)</f>
        <v>0</v>
      </c>
      <c r="P101" s="473"/>
      <c r="Q101" s="889">
        <f>IF(A101=2,Vergütungen_Original!T81,Vergütungen_Original!U81)</f>
        <v>8.5300000000000001E-2</v>
      </c>
      <c r="R101" s="1628">
        <f>IF(A101=2,Vergütungen_Original!AA81,Vergütungen_Original!Z81)</f>
        <v>100</v>
      </c>
      <c r="S101" s="1629"/>
      <c r="T101" s="1629"/>
      <c r="U101" s="1630"/>
      <c r="V101" s="60"/>
      <c r="W101" s="62"/>
      <c r="X101" s="60"/>
      <c r="Y101" s="62"/>
      <c r="Z101" s="61"/>
      <c r="AA101" s="61"/>
      <c r="AB101" s="53"/>
      <c r="AC101" s="74">
        <v>0</v>
      </c>
      <c r="AD101" s="53"/>
      <c r="AE101" s="74">
        <v>0</v>
      </c>
      <c r="AF101" s="53"/>
      <c r="AG101" s="74">
        <v>0</v>
      </c>
      <c r="AH101" s="1105">
        <v>10000</v>
      </c>
      <c r="AI101" s="1103">
        <v>100</v>
      </c>
      <c r="AJ101" s="1103">
        <v>10</v>
      </c>
      <c r="AK101" s="1103">
        <v>10000</v>
      </c>
      <c r="AL101" s="54"/>
      <c r="AM101" s="54"/>
      <c r="AN101" s="54"/>
      <c r="AO101" s="10"/>
      <c r="AP101" s="10"/>
    </row>
    <row r="102" spans="1:42" s="6" customFormat="1" ht="15" customHeight="1" thickTop="1" thickBot="1">
      <c r="A102" s="881">
        <f>Kalkulation_Eigenstrom!$E$15</f>
        <v>1</v>
      </c>
      <c r="B102" s="8">
        <v>97</v>
      </c>
      <c r="C102" s="4">
        <v>4</v>
      </c>
      <c r="D102" s="5" t="s">
        <v>969</v>
      </c>
      <c r="E102" s="17"/>
      <c r="F102" s="153">
        <v>0.19</v>
      </c>
      <c r="G102" s="27" t="s">
        <v>55</v>
      </c>
      <c r="H102" s="21">
        <v>10</v>
      </c>
      <c r="I102" s="886">
        <f>IF(A102=2,Vergütungen_Original!E82,Vergütungen_Original!F82)</f>
        <v>0.123</v>
      </c>
      <c r="J102" s="36">
        <v>40</v>
      </c>
      <c r="K102" s="889">
        <f>IF(A102=2,Vergütungen_Original!H82,Vergütungen_Original!I82)</f>
        <v>0.1196</v>
      </c>
      <c r="L102" s="472">
        <v>1000</v>
      </c>
      <c r="M102" s="889">
        <f>IF(A102=2,Vergütungen_Original!K82,Vergütungen_Original!L82)</f>
        <v>0.1069</v>
      </c>
      <c r="N102" s="473">
        <v>1000</v>
      </c>
      <c r="O102" s="889">
        <f>IF(A102=2,Vergütungen_Original!N82,Vergütungen_Original!O82)</f>
        <v>0</v>
      </c>
      <c r="P102" s="473"/>
      <c r="Q102" s="889">
        <f>IF(A102=2,Vergütungen_Original!T82,Vergütungen_Original!U82)</f>
        <v>8.5099999999999995E-2</v>
      </c>
      <c r="R102" s="1628">
        <f>IF(A102=2,Vergütungen_Original!AA82,Vergütungen_Original!Z82)</f>
        <v>100</v>
      </c>
      <c r="S102" s="1629"/>
      <c r="T102" s="1629"/>
      <c r="U102" s="1630"/>
      <c r="V102" s="60"/>
      <c r="W102" s="62"/>
      <c r="X102" s="60"/>
      <c r="Y102" s="62"/>
      <c r="Z102" s="61"/>
      <c r="AA102" s="61"/>
      <c r="AB102" s="53"/>
      <c r="AC102" s="74">
        <v>0</v>
      </c>
      <c r="AD102" s="53"/>
      <c r="AE102" s="74">
        <v>0</v>
      </c>
      <c r="AF102" s="53"/>
      <c r="AG102" s="74">
        <v>0</v>
      </c>
      <c r="AH102" s="1105">
        <v>10000</v>
      </c>
      <c r="AI102" s="1103">
        <v>100</v>
      </c>
      <c r="AJ102" s="1103">
        <v>10</v>
      </c>
      <c r="AK102" s="1103">
        <v>10000</v>
      </c>
      <c r="AL102" s="54"/>
      <c r="AM102" s="54"/>
      <c r="AN102" s="54"/>
      <c r="AO102" s="10"/>
      <c r="AP102" s="10"/>
    </row>
    <row r="103" spans="1:42" s="6" customFormat="1" ht="15" customHeight="1" thickTop="1" thickBot="1">
      <c r="A103" s="881">
        <f>Kalkulation_Eigenstrom!$E$15</f>
        <v>1</v>
      </c>
      <c r="B103" s="8">
        <v>98</v>
      </c>
      <c r="C103" s="4">
        <v>4</v>
      </c>
      <c r="D103" s="5" t="s">
        <v>974</v>
      </c>
      <c r="E103" s="17"/>
      <c r="F103" s="153">
        <v>0.19</v>
      </c>
      <c r="G103" s="27" t="s">
        <v>55</v>
      </c>
      <c r="H103" s="21">
        <v>10</v>
      </c>
      <c r="I103" s="886">
        <f>IF(A103=2,Vergütungen_Original!E83,Vergütungen_Original!F83)</f>
        <v>0.123</v>
      </c>
      <c r="J103" s="36">
        <v>40</v>
      </c>
      <c r="K103" s="889">
        <f>IF(A103=2,Vergütungen_Original!H83,Vergütungen_Original!I83)</f>
        <v>0.1196</v>
      </c>
      <c r="L103" s="472">
        <v>1000</v>
      </c>
      <c r="M103" s="889">
        <f>IF(A103=2,Vergütungen_Original!K83,Vergütungen_Original!L83)</f>
        <v>0.1069</v>
      </c>
      <c r="N103" s="473">
        <v>1000</v>
      </c>
      <c r="O103" s="889">
        <f>IF(A103=2,Vergütungen_Original!N83,Vergütungen_Original!O83)</f>
        <v>0</v>
      </c>
      <c r="P103" s="473"/>
      <c r="Q103" s="889">
        <f>IF(A103=2,Vergütungen_Original!T83,Vergütungen_Original!U83)</f>
        <v>8.5099999999999995E-2</v>
      </c>
      <c r="R103" s="1628">
        <f>IF(A103=2,Vergütungen_Original!AA83,Vergütungen_Original!Z83)</f>
        <v>100</v>
      </c>
      <c r="S103" s="1629"/>
      <c r="T103" s="1629"/>
      <c r="U103" s="1630"/>
      <c r="V103" s="60"/>
      <c r="W103" s="62"/>
      <c r="X103" s="60"/>
      <c r="Y103" s="62"/>
      <c r="Z103" s="61"/>
      <c r="AA103" s="61"/>
      <c r="AB103" s="53"/>
      <c r="AC103" s="74">
        <v>0</v>
      </c>
      <c r="AD103" s="53"/>
      <c r="AE103" s="74">
        <v>0</v>
      </c>
      <c r="AF103" s="53"/>
      <c r="AG103" s="74">
        <v>0</v>
      </c>
      <c r="AH103" s="1105">
        <v>10000</v>
      </c>
      <c r="AI103" s="1103">
        <v>100</v>
      </c>
      <c r="AJ103" s="1103">
        <v>10</v>
      </c>
      <c r="AK103" s="1103">
        <v>10000</v>
      </c>
      <c r="AL103" s="54"/>
      <c r="AM103" s="54"/>
      <c r="AN103" s="54"/>
      <c r="AO103" s="10"/>
      <c r="AP103" s="10"/>
    </row>
    <row r="104" spans="1:42" s="6" customFormat="1" ht="15" customHeight="1" thickTop="1" thickBot="1">
      <c r="A104" s="881">
        <f>Kalkulation_Eigenstrom!$E$15</f>
        <v>1</v>
      </c>
      <c r="B104" s="8">
        <v>99</v>
      </c>
      <c r="C104" s="4">
        <v>4</v>
      </c>
      <c r="D104" s="5" t="s">
        <v>881</v>
      </c>
      <c r="E104" s="17"/>
      <c r="F104" s="153">
        <v>0.19</v>
      </c>
      <c r="G104" s="27" t="s">
        <v>55</v>
      </c>
      <c r="H104" s="21">
        <v>10</v>
      </c>
      <c r="I104" s="886">
        <f>IF(A104=2,Vergütungen_Original!E84,Vergütungen_Original!F84)</f>
        <v>0.123</v>
      </c>
      <c r="J104" s="36">
        <v>40</v>
      </c>
      <c r="K104" s="889">
        <f>IF(A104=2,Vergütungen_Original!H84,Vergütungen_Original!I84)</f>
        <v>0.1196</v>
      </c>
      <c r="L104" s="472">
        <v>1000</v>
      </c>
      <c r="M104" s="889">
        <f>IF(A104=2,Vergütungen_Original!K84,Vergütungen_Original!L84)</f>
        <v>0.1069</v>
      </c>
      <c r="N104" s="473">
        <v>1000</v>
      </c>
      <c r="O104" s="889">
        <f>IF(A104=2,Vergütungen_Original!N84,Vergütungen_Original!O84)</f>
        <v>0</v>
      </c>
      <c r="P104" s="473"/>
      <c r="Q104" s="889">
        <f>IF(A104=2,Vergütungen_Original!T84,Vergütungen_Original!U84)</f>
        <v>8.5099999999999995E-2</v>
      </c>
      <c r="R104" s="1628">
        <f>IF(A104=2,Vergütungen_Original!AA84,Vergütungen_Original!Z84)</f>
        <v>100</v>
      </c>
      <c r="S104" s="1629"/>
      <c r="T104" s="1629"/>
      <c r="U104" s="1630"/>
      <c r="V104" s="60"/>
      <c r="W104" s="62"/>
      <c r="X104" s="60"/>
      <c r="Y104" s="62"/>
      <c r="Z104" s="61"/>
      <c r="AA104" s="61"/>
      <c r="AB104" s="53"/>
      <c r="AC104" s="74">
        <v>0</v>
      </c>
      <c r="AD104" s="53"/>
      <c r="AE104" s="74">
        <v>0</v>
      </c>
      <c r="AF104" s="53"/>
      <c r="AG104" s="74">
        <v>0</v>
      </c>
      <c r="AH104" s="1105">
        <v>10000</v>
      </c>
      <c r="AI104" s="1103">
        <v>100</v>
      </c>
      <c r="AJ104" s="1103">
        <v>10</v>
      </c>
      <c r="AK104" s="1103">
        <v>10000</v>
      </c>
      <c r="AL104" s="54"/>
      <c r="AM104" s="54"/>
      <c r="AN104" s="54"/>
      <c r="AO104" s="10"/>
      <c r="AP104" s="10"/>
    </row>
    <row r="105" spans="1:42" s="6" customFormat="1" ht="15" customHeight="1" thickTop="1" thickBot="1">
      <c r="A105" s="881">
        <f>Kalkulation_Eigenstrom!$E$15</f>
        <v>1</v>
      </c>
      <c r="B105" s="8">
        <v>100</v>
      </c>
      <c r="C105" s="4">
        <v>4</v>
      </c>
      <c r="D105" s="5" t="s">
        <v>882</v>
      </c>
      <c r="E105" s="17"/>
      <c r="F105" s="153">
        <v>0.19</v>
      </c>
      <c r="G105" s="27" t="s">
        <v>55</v>
      </c>
      <c r="H105" s="21">
        <v>10</v>
      </c>
      <c r="I105" s="886">
        <f>IF(A105=2,Vergütungen_Original!E85,Vergütungen_Original!F85)</f>
        <v>0.123</v>
      </c>
      <c r="J105" s="36">
        <v>40</v>
      </c>
      <c r="K105" s="889">
        <f>IF(A105=2,Vergütungen_Original!H85,Vergütungen_Original!I85)</f>
        <v>0.1196</v>
      </c>
      <c r="L105" s="472">
        <v>1000</v>
      </c>
      <c r="M105" s="889">
        <f>IF(A105=2,Vergütungen_Original!K85,Vergütungen_Original!L85)</f>
        <v>0.1069</v>
      </c>
      <c r="N105" s="473">
        <v>1000</v>
      </c>
      <c r="O105" s="889">
        <f>IF(A105=2,Vergütungen_Original!N85,Vergütungen_Original!O85)</f>
        <v>0</v>
      </c>
      <c r="P105" s="473"/>
      <c r="Q105" s="889">
        <f>IF(A105=2,Vergütungen_Original!T85,Vergütungen_Original!U85)</f>
        <v>8.5099999999999995E-2</v>
      </c>
      <c r="R105" s="1628">
        <f>IF(A105=2,Vergütungen_Original!AA85,Vergütungen_Original!Z85)</f>
        <v>100</v>
      </c>
      <c r="S105" s="1629"/>
      <c r="T105" s="1629"/>
      <c r="U105" s="1630"/>
      <c r="V105" s="60"/>
      <c r="W105" s="62"/>
      <c r="X105" s="60"/>
      <c r="Y105" s="62"/>
      <c r="Z105" s="61"/>
      <c r="AA105" s="61"/>
      <c r="AB105" s="53"/>
      <c r="AC105" s="74">
        <v>0</v>
      </c>
      <c r="AD105" s="53"/>
      <c r="AE105" s="74">
        <v>0</v>
      </c>
      <c r="AF105" s="53"/>
      <c r="AG105" s="74">
        <v>0</v>
      </c>
      <c r="AH105" s="1105">
        <v>10000</v>
      </c>
      <c r="AI105" s="1103">
        <v>100</v>
      </c>
      <c r="AJ105" s="1103">
        <v>10</v>
      </c>
      <c r="AK105" s="1103">
        <v>10000</v>
      </c>
      <c r="AL105" s="54"/>
      <c r="AM105" s="54"/>
      <c r="AN105" s="54"/>
      <c r="AO105" s="10"/>
      <c r="AP105" s="10"/>
    </row>
    <row r="106" spans="1:42" s="6" customFormat="1" ht="15" customHeight="1" thickTop="1" thickBot="1">
      <c r="A106" s="881">
        <f>Kalkulation_Eigenstrom!$E$15</f>
        <v>1</v>
      </c>
      <c r="B106" s="8">
        <v>101</v>
      </c>
      <c r="C106" s="4">
        <v>4</v>
      </c>
      <c r="D106" s="5" t="s">
        <v>983</v>
      </c>
      <c r="E106" s="17"/>
      <c r="F106" s="153">
        <v>0.19</v>
      </c>
      <c r="G106" s="27" t="s">
        <v>55</v>
      </c>
      <c r="H106" s="21">
        <v>10</v>
      </c>
      <c r="I106" s="886">
        <f>IF(A106=2,Vergütungen_Original!E86,Vergütungen_Original!F86)</f>
        <v>0.1227</v>
      </c>
      <c r="J106" s="36">
        <v>40</v>
      </c>
      <c r="K106" s="889">
        <f>IF(A106=2,Vergütungen_Original!H86,Vergütungen_Original!I86)</f>
        <v>0.1193</v>
      </c>
      <c r="L106" s="472">
        <v>1000</v>
      </c>
      <c r="M106" s="889">
        <f>IF(A106=2,Vergütungen_Original!K86,Vergütungen_Original!L86)</f>
        <v>0.1066</v>
      </c>
      <c r="N106" s="473">
        <v>1000</v>
      </c>
      <c r="O106" s="889">
        <f>IF(A106=2,Vergütungen_Original!N86,Vergütungen_Original!O86)</f>
        <v>0</v>
      </c>
      <c r="P106" s="473"/>
      <c r="Q106" s="889">
        <f>IF(A106=2,Vergütungen_Original!T86,Vergütungen_Original!U86)</f>
        <v>8.4900000000000003E-2</v>
      </c>
      <c r="R106" s="1628">
        <f>IF(A106=2,Vergütungen_Original!AA86,Vergütungen_Original!Z86)</f>
        <v>100</v>
      </c>
      <c r="S106" s="1629"/>
      <c r="T106" s="1629"/>
      <c r="U106" s="1630"/>
      <c r="V106" s="60"/>
      <c r="W106" s="62"/>
      <c r="X106" s="60"/>
      <c r="Y106" s="62"/>
      <c r="Z106" s="61"/>
      <c r="AA106" s="61"/>
      <c r="AB106" s="53"/>
      <c r="AC106" s="74">
        <v>0</v>
      </c>
      <c r="AD106" s="53"/>
      <c r="AE106" s="74">
        <v>0</v>
      </c>
      <c r="AF106" s="53"/>
      <c r="AG106" s="74">
        <v>0</v>
      </c>
      <c r="AH106" s="1105">
        <v>10000</v>
      </c>
      <c r="AI106" s="1103">
        <v>100</v>
      </c>
      <c r="AJ106" s="1103">
        <v>10</v>
      </c>
      <c r="AK106" s="1103">
        <v>10000</v>
      </c>
      <c r="AL106" s="54"/>
      <c r="AM106" s="54"/>
      <c r="AN106" s="54"/>
      <c r="AO106" s="10"/>
      <c r="AP106" s="10"/>
    </row>
    <row r="107" spans="1:42" s="6" customFormat="1" ht="15" customHeight="1" thickTop="1" thickBot="1">
      <c r="A107" s="881">
        <f>Kalkulation_Eigenstrom!$E$15</f>
        <v>1</v>
      </c>
      <c r="B107" s="8">
        <v>102</v>
      </c>
      <c r="C107" s="4">
        <v>4</v>
      </c>
      <c r="D107" s="5" t="s">
        <v>883</v>
      </c>
      <c r="E107" s="17"/>
      <c r="F107" s="153">
        <v>0.19</v>
      </c>
      <c r="G107" s="27" t="s">
        <v>55</v>
      </c>
      <c r="H107" s="21">
        <v>10</v>
      </c>
      <c r="I107" s="886">
        <f>IF(A107=2,Vergütungen_Original!E87,Vergütungen_Original!F87)</f>
        <v>0.12239999999999999</v>
      </c>
      <c r="J107" s="36">
        <v>40</v>
      </c>
      <c r="K107" s="889">
        <f>IF(A107=2,Vergütungen_Original!H87,Vergütungen_Original!I87)</f>
        <v>0.11899999999999999</v>
      </c>
      <c r="L107" s="472">
        <v>1000</v>
      </c>
      <c r="M107" s="889">
        <f>IF(A107=2,Vergütungen_Original!K87,Vergütungen_Original!L87)</f>
        <v>0.10630000000000001</v>
      </c>
      <c r="N107" s="473">
        <v>1000</v>
      </c>
      <c r="O107" s="889">
        <f>IF(A107=2,Vergütungen_Original!N87,Vergütungen_Original!O87)</f>
        <v>0</v>
      </c>
      <c r="P107" s="473"/>
      <c r="Q107" s="889">
        <f>IF(A107=2,Vergütungen_Original!T87,Vergütungen_Original!U87)</f>
        <v>8.4699999999999998E-2</v>
      </c>
      <c r="R107" s="1628">
        <f>IF(A107=2,Vergütungen_Original!AA87,Vergütungen_Original!Z87)</f>
        <v>100</v>
      </c>
      <c r="S107" s="1629"/>
      <c r="T107" s="1629"/>
      <c r="U107" s="1630"/>
      <c r="V107" s="60"/>
      <c r="W107" s="62"/>
      <c r="X107" s="60"/>
      <c r="Y107" s="62"/>
      <c r="Z107" s="61"/>
      <c r="AA107" s="61"/>
      <c r="AB107" s="53"/>
      <c r="AC107" s="74">
        <v>0</v>
      </c>
      <c r="AD107" s="53"/>
      <c r="AE107" s="74">
        <v>0</v>
      </c>
      <c r="AF107" s="53"/>
      <c r="AG107" s="74">
        <v>0</v>
      </c>
      <c r="AH107" s="1105">
        <v>10000</v>
      </c>
      <c r="AI107" s="1103">
        <v>100</v>
      </c>
      <c r="AJ107" s="1103">
        <v>10</v>
      </c>
      <c r="AK107" s="1103">
        <v>10000</v>
      </c>
      <c r="AL107" s="54"/>
      <c r="AM107" s="54"/>
      <c r="AN107" s="54"/>
      <c r="AO107" s="10"/>
      <c r="AP107" s="10"/>
    </row>
    <row r="108" spans="1:42" s="6" customFormat="1" ht="15" customHeight="1" thickTop="1" thickBot="1">
      <c r="A108" s="881">
        <f>Kalkulation_Eigenstrom!$E$15</f>
        <v>1</v>
      </c>
      <c r="B108" s="8">
        <v>103</v>
      </c>
      <c r="C108" s="4">
        <v>4</v>
      </c>
      <c r="D108" s="5" t="s">
        <v>884</v>
      </c>
      <c r="E108" s="17"/>
      <c r="F108" s="153">
        <v>0.19</v>
      </c>
      <c r="G108" s="27" t="s">
        <v>55</v>
      </c>
      <c r="H108" s="21">
        <v>10</v>
      </c>
      <c r="I108" s="886">
        <f>IF(A108=2,Vergütungen_Original!E88,Vergütungen_Original!F88)</f>
        <v>0.122</v>
      </c>
      <c r="J108" s="36">
        <v>40</v>
      </c>
      <c r="K108" s="889">
        <f>IF(A108=2,Vergütungen_Original!H88,Vergütungen_Original!I88)</f>
        <v>0.1187</v>
      </c>
      <c r="L108" s="472">
        <v>1000</v>
      </c>
      <c r="M108" s="889">
        <f>IF(A108=2,Vergütungen_Original!K88,Vergütungen_Original!L88)</f>
        <v>0.1061</v>
      </c>
      <c r="N108" s="473">
        <v>1000</v>
      </c>
      <c r="O108" s="889">
        <f>IF(A108=2,Vergütungen_Original!N88,Vergütungen_Original!O88)</f>
        <v>0</v>
      </c>
      <c r="P108" s="473"/>
      <c r="Q108" s="889">
        <f>IF(A108=2,Vergütungen_Original!T88,Vergütungen_Original!U88)</f>
        <v>8.4400000000000003E-2</v>
      </c>
      <c r="R108" s="1628">
        <f>IF(A108=2,Vergütungen_Original!AA88,Vergütungen_Original!Z88)</f>
        <v>100</v>
      </c>
      <c r="S108" s="1629"/>
      <c r="T108" s="1629"/>
      <c r="U108" s="1630"/>
      <c r="V108" s="60"/>
      <c r="W108" s="62"/>
      <c r="X108" s="60"/>
      <c r="Y108" s="62"/>
      <c r="Z108" s="61"/>
      <c r="AA108" s="61"/>
      <c r="AB108" s="53"/>
      <c r="AC108" s="74">
        <v>0</v>
      </c>
      <c r="AD108" s="53"/>
      <c r="AE108" s="74">
        <v>0</v>
      </c>
      <c r="AF108" s="53"/>
      <c r="AG108" s="74">
        <v>0</v>
      </c>
      <c r="AH108" s="1105">
        <v>10000</v>
      </c>
      <c r="AI108" s="1103">
        <v>100</v>
      </c>
      <c r="AJ108" s="1103">
        <v>10</v>
      </c>
      <c r="AK108" s="1103">
        <v>10000</v>
      </c>
      <c r="AL108" s="54"/>
      <c r="AM108" s="54"/>
      <c r="AN108" s="54"/>
      <c r="AO108" s="10"/>
      <c r="AP108" s="10"/>
    </row>
    <row r="109" spans="1:42" s="6" customFormat="1" ht="15" customHeight="1" thickTop="1" thickBot="1">
      <c r="A109" s="881">
        <f>Kalkulation_Eigenstrom!$E$15</f>
        <v>1</v>
      </c>
      <c r="B109" s="8">
        <v>104</v>
      </c>
      <c r="C109" s="4">
        <v>4</v>
      </c>
      <c r="D109" s="5" t="s">
        <v>989</v>
      </c>
      <c r="E109" s="17"/>
      <c r="F109" s="153">
        <v>0.19</v>
      </c>
      <c r="G109" s="27" t="s">
        <v>55</v>
      </c>
      <c r="H109" s="21">
        <v>10</v>
      </c>
      <c r="I109" s="886">
        <f>IF(A109=2,Vergütungen_Original!E89,Vergütungen_Original!F89)</f>
        <v>0.122</v>
      </c>
      <c r="J109" s="36">
        <v>40</v>
      </c>
      <c r="K109" s="889">
        <f>IF(A109=2,Vergütungen_Original!H89,Vergütungen_Original!I89)</f>
        <v>0.1187</v>
      </c>
      <c r="L109" s="472">
        <v>1000</v>
      </c>
      <c r="M109" s="889">
        <f>IF(A109=2,Vergütungen_Original!K89,Vergütungen_Original!L89)</f>
        <v>0.1061</v>
      </c>
      <c r="N109" s="473">
        <v>1000</v>
      </c>
      <c r="O109" s="889">
        <f>IF(A109=2,Vergütungen_Original!N89,Vergütungen_Original!O89)</f>
        <v>0</v>
      </c>
      <c r="P109" s="473"/>
      <c r="Q109" s="889">
        <f>IF(A109=2,Vergütungen_Original!T89,Vergütungen_Original!U89)</f>
        <v>8.4400000000000003E-2</v>
      </c>
      <c r="R109" s="1628">
        <f>IF(A109=2,Vergütungen_Original!AA89,Vergütungen_Original!Z89)</f>
        <v>100</v>
      </c>
      <c r="S109" s="1629"/>
      <c r="T109" s="1629"/>
      <c r="U109" s="1630"/>
      <c r="V109" s="60"/>
      <c r="W109" s="62"/>
      <c r="X109" s="60"/>
      <c r="Y109" s="62"/>
      <c r="Z109" s="61"/>
      <c r="AA109" s="61"/>
      <c r="AB109" s="53"/>
      <c r="AC109" s="74">
        <v>0</v>
      </c>
      <c r="AD109" s="53"/>
      <c r="AE109" s="74">
        <v>0</v>
      </c>
      <c r="AF109" s="53"/>
      <c r="AG109" s="74">
        <v>0</v>
      </c>
      <c r="AH109" s="1105">
        <v>10000</v>
      </c>
      <c r="AI109" s="1103">
        <v>100</v>
      </c>
      <c r="AJ109" s="1103">
        <v>10</v>
      </c>
      <c r="AK109" s="1103">
        <v>10000</v>
      </c>
      <c r="AL109" s="54"/>
      <c r="AM109" s="54"/>
      <c r="AN109" s="54"/>
      <c r="AO109" s="10"/>
      <c r="AP109" s="10"/>
    </row>
    <row r="110" spans="1:42" s="6" customFormat="1" ht="15" customHeight="1" thickTop="1" thickBot="1">
      <c r="A110" s="881">
        <f>Kalkulation_Eigenstrom!$E$15</f>
        <v>1</v>
      </c>
      <c r="B110" s="8">
        <v>105</v>
      </c>
      <c r="C110" s="4">
        <v>4</v>
      </c>
      <c r="D110" s="5" t="s">
        <v>885</v>
      </c>
      <c r="E110" s="17"/>
      <c r="F110" s="153">
        <v>0.19</v>
      </c>
      <c r="G110" s="27" t="s">
        <v>55</v>
      </c>
      <c r="H110" s="21">
        <v>10</v>
      </c>
      <c r="I110" s="886">
        <f>IF(A110=2,Vergütungen_Original!E90,Vergütungen_Original!F90)</f>
        <v>0.122</v>
      </c>
      <c r="J110" s="36">
        <v>40</v>
      </c>
      <c r="K110" s="889">
        <f>IF(A110=2,Vergütungen_Original!H90,Vergütungen_Original!I90)</f>
        <v>0.1187</v>
      </c>
      <c r="L110" s="472">
        <v>1000</v>
      </c>
      <c r="M110" s="889">
        <f>IF(A110=2,Vergütungen_Original!K90,Vergütungen_Original!L90)</f>
        <v>0.1061</v>
      </c>
      <c r="N110" s="473">
        <v>1000</v>
      </c>
      <c r="O110" s="889">
        <f>IF(A110=2,Vergütungen_Original!N90,Vergütungen_Original!O90)</f>
        <v>0</v>
      </c>
      <c r="P110" s="473"/>
      <c r="Q110" s="889">
        <f>IF(A110=2,Vergütungen_Original!T90,Vergütungen_Original!U90)</f>
        <v>8.4400000000000003E-2</v>
      </c>
      <c r="R110" s="1628">
        <f>IF(A110=2,Vergütungen_Original!AA90,Vergütungen_Original!Z90)</f>
        <v>100</v>
      </c>
      <c r="S110" s="1629"/>
      <c r="T110" s="1629"/>
      <c r="U110" s="1630"/>
      <c r="V110" s="60"/>
      <c r="W110" s="62"/>
      <c r="X110" s="60"/>
      <c r="Y110" s="62"/>
      <c r="Z110" s="61"/>
      <c r="AA110" s="61"/>
      <c r="AB110" s="53"/>
      <c r="AC110" s="74">
        <v>0</v>
      </c>
      <c r="AD110" s="53"/>
      <c r="AE110" s="74">
        <v>0</v>
      </c>
      <c r="AF110" s="53"/>
      <c r="AG110" s="74">
        <v>0</v>
      </c>
      <c r="AH110" s="1105">
        <v>10000</v>
      </c>
      <c r="AI110" s="1103">
        <v>100</v>
      </c>
      <c r="AJ110" s="1103">
        <v>10</v>
      </c>
      <c r="AK110" s="1103">
        <v>10000</v>
      </c>
      <c r="AL110" s="54"/>
      <c r="AM110" s="54"/>
      <c r="AN110" s="54"/>
      <c r="AO110" s="10"/>
      <c r="AP110" s="10"/>
    </row>
    <row r="111" spans="1:42" s="6" customFormat="1" ht="15" customHeight="1" thickTop="1" thickBot="1">
      <c r="A111" s="881">
        <f>Kalkulation_Eigenstrom!$E$15</f>
        <v>1</v>
      </c>
      <c r="B111" s="8">
        <v>106</v>
      </c>
      <c r="C111" s="4">
        <v>4</v>
      </c>
      <c r="D111" s="5" t="s">
        <v>886</v>
      </c>
      <c r="E111" s="17"/>
      <c r="F111" s="153">
        <v>0.19</v>
      </c>
      <c r="G111" s="27" t="s">
        <v>55</v>
      </c>
      <c r="H111" s="21">
        <v>10</v>
      </c>
      <c r="I111" s="886">
        <f>IF(A111=2,Vergütungen_Original!E91,Vergütungen_Original!F91)</f>
        <v>0.122</v>
      </c>
      <c r="J111" s="36">
        <v>40</v>
      </c>
      <c r="K111" s="889">
        <f>IF(A111=2,Vergütungen_Original!H91,Vergütungen_Original!I91)</f>
        <v>0.1187</v>
      </c>
      <c r="L111" s="472">
        <v>1000</v>
      </c>
      <c r="M111" s="889">
        <f>IF(A111=2,Vergütungen_Original!K91,Vergütungen_Original!L91)</f>
        <v>0.1061</v>
      </c>
      <c r="N111" s="473">
        <v>1000</v>
      </c>
      <c r="O111" s="889">
        <f>IF(A111=2,Vergütungen_Original!N91,Vergütungen_Original!O91)</f>
        <v>0</v>
      </c>
      <c r="P111" s="473"/>
      <c r="Q111" s="889">
        <f>IF(A111=2,Vergütungen_Original!T91,Vergütungen_Original!U91)</f>
        <v>8.4400000000000003E-2</v>
      </c>
      <c r="R111" s="1628">
        <f>IF(A111=2,Vergütungen_Original!AA91,Vergütungen_Original!Z91)</f>
        <v>100</v>
      </c>
      <c r="S111" s="1629"/>
      <c r="T111" s="1629"/>
      <c r="U111" s="1630"/>
      <c r="V111" s="60"/>
      <c r="W111" s="62"/>
      <c r="X111" s="60"/>
      <c r="Y111" s="62"/>
      <c r="Z111" s="61"/>
      <c r="AA111" s="61"/>
      <c r="AB111" s="53"/>
      <c r="AC111" s="74">
        <v>0</v>
      </c>
      <c r="AD111" s="53"/>
      <c r="AE111" s="74">
        <v>0</v>
      </c>
      <c r="AF111" s="53"/>
      <c r="AG111" s="74">
        <v>0</v>
      </c>
      <c r="AH111" s="1105">
        <v>10000</v>
      </c>
      <c r="AI111" s="1103">
        <v>100</v>
      </c>
      <c r="AJ111" s="1103">
        <v>10</v>
      </c>
      <c r="AK111" s="1103">
        <v>10000</v>
      </c>
      <c r="AL111" s="54"/>
      <c r="AM111" s="54"/>
      <c r="AN111" s="54"/>
      <c r="AO111" s="10"/>
      <c r="AP111" s="10"/>
    </row>
    <row r="112" spans="1:42" s="6" customFormat="1" ht="15" customHeight="1" thickTop="1" thickBot="1">
      <c r="A112" s="881">
        <f>Kalkulation_Eigenstrom!$E$15</f>
        <v>1</v>
      </c>
      <c r="B112" s="8">
        <v>107</v>
      </c>
      <c r="C112" s="4">
        <v>4</v>
      </c>
      <c r="D112" s="5" t="s">
        <v>993</v>
      </c>
      <c r="E112" s="17"/>
      <c r="F112" s="153">
        <v>0.19</v>
      </c>
      <c r="G112" s="27" t="s">
        <v>55</v>
      </c>
      <c r="H112" s="21">
        <v>10</v>
      </c>
      <c r="I112" s="886">
        <f>IF(A112=2,Vergütungen_Original!E92,Vergütungen_Original!F92)</f>
        <v>0.122</v>
      </c>
      <c r="J112" s="36">
        <v>40</v>
      </c>
      <c r="K112" s="889">
        <f>IF(A112=2,Vergütungen_Original!H92,Vergütungen_Original!I92)</f>
        <v>0.1187</v>
      </c>
      <c r="L112" s="472">
        <v>1000</v>
      </c>
      <c r="M112" s="889">
        <f>IF(A112=2,Vergütungen_Original!K92,Vergütungen_Original!L92)</f>
        <v>0.1061</v>
      </c>
      <c r="N112" s="473">
        <v>1000</v>
      </c>
      <c r="O112" s="889">
        <f>IF(A112=2,Vergütungen_Original!N92,Vergütungen_Original!O92)</f>
        <v>0</v>
      </c>
      <c r="P112" s="473"/>
      <c r="Q112" s="889">
        <f>IF(A112=2,Vergütungen_Original!T92,Vergütungen_Original!U92)</f>
        <v>8.4400000000000003E-2</v>
      </c>
      <c r="R112" s="1628">
        <f>IF(A112=2,Vergütungen_Original!AA92,Vergütungen_Original!Z92)</f>
        <v>100</v>
      </c>
      <c r="S112" s="1629"/>
      <c r="T112" s="1629"/>
      <c r="U112" s="1630"/>
      <c r="V112" s="60"/>
      <c r="W112" s="62"/>
      <c r="X112" s="60"/>
      <c r="Y112" s="62"/>
      <c r="Z112" s="61"/>
      <c r="AA112" s="61"/>
      <c r="AB112" s="53"/>
      <c r="AC112" s="74">
        <v>0</v>
      </c>
      <c r="AD112" s="53"/>
      <c r="AE112" s="74">
        <v>0</v>
      </c>
      <c r="AF112" s="53"/>
      <c r="AG112" s="74">
        <v>0</v>
      </c>
      <c r="AH112" s="1105">
        <v>10000</v>
      </c>
      <c r="AI112" s="1103">
        <v>100</v>
      </c>
      <c r="AJ112" s="1103">
        <v>10</v>
      </c>
      <c r="AK112" s="1103">
        <v>10000</v>
      </c>
      <c r="AL112" s="54"/>
      <c r="AM112" s="54"/>
      <c r="AN112" s="54"/>
      <c r="AO112" s="10"/>
      <c r="AP112" s="10"/>
    </row>
    <row r="113" spans="1:42" s="6" customFormat="1" ht="15" customHeight="1" thickTop="1" thickBot="1">
      <c r="A113" s="881">
        <f>Kalkulation_Eigenstrom!$E$15</f>
        <v>1</v>
      </c>
      <c r="B113" s="8">
        <v>108</v>
      </c>
      <c r="C113" s="4">
        <v>4</v>
      </c>
      <c r="D113" s="5" t="s">
        <v>887</v>
      </c>
      <c r="E113" s="17"/>
      <c r="F113" s="153">
        <v>0.19</v>
      </c>
      <c r="G113" s="27" t="s">
        <v>55</v>
      </c>
      <c r="H113" s="21">
        <v>10</v>
      </c>
      <c r="I113" s="886">
        <f>IF(A113=2,Vergütungen_Original!E93,Vergütungen_Original!F93)</f>
        <v>0.122</v>
      </c>
      <c r="J113" s="36">
        <v>40</v>
      </c>
      <c r="K113" s="889">
        <f>IF(A113=2,Vergütungen_Original!H93,Vergütungen_Original!I93)</f>
        <v>0.1187</v>
      </c>
      <c r="L113" s="472">
        <v>1000</v>
      </c>
      <c r="M113" s="889">
        <f>IF(A113=2,Vergütungen_Original!K93,Vergütungen_Original!L93)</f>
        <v>0.1061</v>
      </c>
      <c r="N113" s="473">
        <v>1000</v>
      </c>
      <c r="O113" s="889">
        <f>IF(A113=2,Vergütungen_Original!N93,Vergütungen_Original!O93)</f>
        <v>0</v>
      </c>
      <c r="P113" s="473"/>
      <c r="Q113" s="889">
        <f>IF(A113=2,Vergütungen_Original!T93,Vergütungen_Original!U93)</f>
        <v>8.4400000000000003E-2</v>
      </c>
      <c r="R113" s="1628">
        <f>IF(A113=2,Vergütungen_Original!AA93,Vergütungen_Original!Z93)</f>
        <v>100</v>
      </c>
      <c r="S113" s="1629"/>
      <c r="T113" s="1629"/>
      <c r="U113" s="1630"/>
      <c r="V113" s="60"/>
      <c r="W113" s="62"/>
      <c r="X113" s="60"/>
      <c r="Y113" s="62"/>
      <c r="Z113" s="61"/>
      <c r="AA113" s="61"/>
      <c r="AB113" s="53"/>
      <c r="AC113" s="74">
        <v>0</v>
      </c>
      <c r="AD113" s="53"/>
      <c r="AE113" s="74">
        <v>0</v>
      </c>
      <c r="AF113" s="53"/>
      <c r="AG113" s="74">
        <v>0</v>
      </c>
      <c r="AH113" s="1105">
        <v>10000</v>
      </c>
      <c r="AI113" s="1103">
        <v>100</v>
      </c>
      <c r="AJ113" s="1103">
        <v>10</v>
      </c>
      <c r="AK113" s="1103">
        <v>10000</v>
      </c>
      <c r="AL113" s="54"/>
      <c r="AM113" s="54"/>
      <c r="AN113" s="54"/>
      <c r="AO113" s="10"/>
      <c r="AP113" s="10"/>
    </row>
    <row r="114" spans="1:42" s="6" customFormat="1" ht="15" customHeight="1" thickTop="1" thickBot="1">
      <c r="A114" s="881">
        <f>Kalkulation_Eigenstrom!$E$15</f>
        <v>1</v>
      </c>
      <c r="B114" s="8">
        <v>109</v>
      </c>
      <c r="C114" s="4">
        <v>4</v>
      </c>
      <c r="D114" s="5" t="s">
        <v>888</v>
      </c>
      <c r="E114" s="17"/>
      <c r="F114" s="153">
        <v>0.19</v>
      </c>
      <c r="G114" s="27" t="s">
        <v>55</v>
      </c>
      <c r="H114" s="21">
        <v>10</v>
      </c>
      <c r="I114" s="886">
        <f>IF(A114=2,Vergütungen_Original!E94,Vergütungen_Original!F94)</f>
        <v>0.122</v>
      </c>
      <c r="J114" s="36">
        <v>40</v>
      </c>
      <c r="K114" s="889">
        <f>IF(A114=2,Vergütungen_Original!H94,Vergütungen_Original!I94)</f>
        <v>0.1187</v>
      </c>
      <c r="L114" s="472">
        <v>1000</v>
      </c>
      <c r="M114" s="889">
        <f>IF(A114=2,Vergütungen_Original!K94,Vergütungen_Original!L94)</f>
        <v>0.1061</v>
      </c>
      <c r="N114" s="473">
        <v>1000</v>
      </c>
      <c r="O114" s="889">
        <f>IF(A114=2,Vergütungen_Original!N94,Vergütungen_Original!O94)</f>
        <v>0</v>
      </c>
      <c r="P114" s="473"/>
      <c r="Q114" s="889">
        <f>IF(A114=2,Vergütungen_Original!T94,Vergütungen_Original!U94)</f>
        <v>8.4400000000000003E-2</v>
      </c>
      <c r="R114" s="1628">
        <f>IF(A114=2,Vergütungen_Original!AA94,Vergütungen_Original!Z94)</f>
        <v>100</v>
      </c>
      <c r="S114" s="1629"/>
      <c r="T114" s="1629"/>
      <c r="U114" s="1630"/>
      <c r="V114" s="60"/>
      <c r="W114" s="62"/>
      <c r="X114" s="60"/>
      <c r="Y114" s="62"/>
      <c r="Z114" s="61"/>
      <c r="AA114" s="61"/>
      <c r="AB114" s="53"/>
      <c r="AC114" s="74">
        <v>0</v>
      </c>
      <c r="AD114" s="53"/>
      <c r="AE114" s="74">
        <v>0</v>
      </c>
      <c r="AF114" s="53"/>
      <c r="AG114" s="74">
        <v>0</v>
      </c>
      <c r="AH114" s="1105">
        <v>10000</v>
      </c>
      <c r="AI114" s="1103">
        <v>100</v>
      </c>
      <c r="AJ114" s="1103">
        <v>10</v>
      </c>
      <c r="AK114" s="1103">
        <v>10000</v>
      </c>
      <c r="AL114" s="54"/>
      <c r="AM114" s="54"/>
      <c r="AN114" s="54"/>
      <c r="AO114" s="10"/>
      <c r="AP114" s="10"/>
    </row>
    <row r="115" spans="1:42" s="6" customFormat="1" ht="15" customHeight="1" thickTop="1" thickBot="1">
      <c r="A115" s="881">
        <f>Kalkulation_Eigenstrom!$E$15</f>
        <v>1</v>
      </c>
      <c r="B115" s="8">
        <v>110</v>
      </c>
      <c r="C115" s="4">
        <v>4</v>
      </c>
      <c r="D115" s="5" t="s">
        <v>999</v>
      </c>
      <c r="E115" s="17"/>
      <c r="F115" s="153">
        <v>0.19</v>
      </c>
      <c r="G115" s="27" t="s">
        <v>55</v>
      </c>
      <c r="H115" s="21">
        <v>10</v>
      </c>
      <c r="I115" s="886">
        <f>IF(A115=2,Vergütungen_Original!E95,Vergütungen_Original!F95)</f>
        <v>0.122</v>
      </c>
      <c r="J115" s="36">
        <v>40</v>
      </c>
      <c r="K115" s="889">
        <f>IF(A115=2,Vergütungen_Original!H95,Vergütungen_Original!I95)</f>
        <v>0.1187</v>
      </c>
      <c r="L115" s="472">
        <v>1000</v>
      </c>
      <c r="M115" s="889">
        <f>IF(A115=2,Vergütungen_Original!K95,Vergütungen_Original!L95)</f>
        <v>0.1061</v>
      </c>
      <c r="N115" s="473">
        <v>1000</v>
      </c>
      <c r="O115" s="889">
        <f>IF(A115=2,Vergütungen_Original!N95,Vergütungen_Original!O95)</f>
        <v>0</v>
      </c>
      <c r="P115" s="473"/>
      <c r="Q115" s="889">
        <f>IF(A115=2,Vergütungen_Original!T95,Vergütungen_Original!U95)</f>
        <v>8.4400000000000003E-2</v>
      </c>
      <c r="R115" s="1628">
        <f>IF(A115=2,Vergütungen_Original!AA95,Vergütungen_Original!Z95)</f>
        <v>100</v>
      </c>
      <c r="S115" s="1629"/>
      <c r="T115" s="1629"/>
      <c r="U115" s="1630"/>
      <c r="V115" s="60"/>
      <c r="W115" s="62"/>
      <c r="X115" s="60"/>
      <c r="Y115" s="62"/>
      <c r="Z115" s="61"/>
      <c r="AA115" s="61"/>
      <c r="AB115" s="53"/>
      <c r="AC115" s="74">
        <v>0</v>
      </c>
      <c r="AD115" s="53"/>
      <c r="AE115" s="74">
        <v>0</v>
      </c>
      <c r="AF115" s="53"/>
      <c r="AG115" s="74">
        <v>0</v>
      </c>
      <c r="AH115" s="1105">
        <v>10000</v>
      </c>
      <c r="AI115" s="1103">
        <v>100</v>
      </c>
      <c r="AJ115" s="1103">
        <v>10</v>
      </c>
      <c r="AK115" s="1103">
        <v>10000</v>
      </c>
      <c r="AL115" s="54"/>
      <c r="AM115" s="54"/>
      <c r="AN115" s="54"/>
      <c r="AO115" s="10"/>
      <c r="AP115" s="10"/>
    </row>
    <row r="116" spans="1:42" s="6" customFormat="1" ht="15" customHeight="1" thickTop="1" thickBot="1">
      <c r="A116" s="881">
        <f>Kalkulation_Eigenstrom!$E$15</f>
        <v>1</v>
      </c>
      <c r="B116" s="8">
        <v>111</v>
      </c>
      <c r="C116" s="4">
        <v>4</v>
      </c>
      <c r="D116" s="5" t="s">
        <v>889</v>
      </c>
      <c r="E116" s="17"/>
      <c r="F116" s="153">
        <v>0.19</v>
      </c>
      <c r="G116" s="27" t="s">
        <v>55</v>
      </c>
      <c r="H116" s="21">
        <v>10</v>
      </c>
      <c r="I116" s="886">
        <f>IF(A116=2,Vergütungen_Original!E96,Vergütungen_Original!F96)</f>
        <v>0.122</v>
      </c>
      <c r="J116" s="36">
        <v>40</v>
      </c>
      <c r="K116" s="889">
        <f>IF(A116=2,Vergütungen_Original!H96,Vergütungen_Original!I96)</f>
        <v>0.1187</v>
      </c>
      <c r="L116" s="472">
        <v>1000</v>
      </c>
      <c r="M116" s="889">
        <f>IF(A116=2,Vergütungen_Original!K96,Vergütungen_Original!L96)</f>
        <v>0.1061</v>
      </c>
      <c r="N116" s="473">
        <v>1000</v>
      </c>
      <c r="O116" s="889">
        <f>IF(A116=2,Vergütungen_Original!N96,Vergütungen_Original!O96)</f>
        <v>0</v>
      </c>
      <c r="P116" s="473"/>
      <c r="Q116" s="889">
        <f>IF(A116=2,Vergütungen_Original!T96,Vergütungen_Original!U96)</f>
        <v>8.4400000000000003E-2</v>
      </c>
      <c r="R116" s="1628">
        <f>IF(A116=2,Vergütungen_Original!AA96,Vergütungen_Original!Z96)</f>
        <v>100</v>
      </c>
      <c r="S116" s="1629"/>
      <c r="T116" s="1629"/>
      <c r="U116" s="1630"/>
      <c r="V116" s="60"/>
      <c r="W116" s="62"/>
      <c r="X116" s="60"/>
      <c r="Y116" s="62"/>
      <c r="Z116" s="61"/>
      <c r="AA116" s="61"/>
      <c r="AB116" s="53"/>
      <c r="AC116" s="74">
        <v>0</v>
      </c>
      <c r="AD116" s="53"/>
      <c r="AE116" s="74">
        <v>0</v>
      </c>
      <c r="AF116" s="53"/>
      <c r="AG116" s="74">
        <v>0</v>
      </c>
      <c r="AH116" s="1105">
        <v>10000</v>
      </c>
      <c r="AI116" s="1103">
        <v>100</v>
      </c>
      <c r="AJ116" s="1103">
        <v>10</v>
      </c>
      <c r="AK116" s="1103">
        <v>10000</v>
      </c>
      <c r="AL116" s="54"/>
      <c r="AM116" s="54"/>
      <c r="AN116" s="54"/>
      <c r="AO116" s="10"/>
      <c r="AP116" s="10"/>
    </row>
    <row r="117" spans="1:42" s="6" customFormat="1" ht="15" customHeight="1" thickTop="1" thickBot="1">
      <c r="A117" s="881">
        <f>Kalkulation_Eigenstrom!$E$15</f>
        <v>1</v>
      </c>
      <c r="B117" s="8">
        <v>112</v>
      </c>
      <c r="C117" s="4">
        <v>4</v>
      </c>
      <c r="D117" s="5" t="s">
        <v>890</v>
      </c>
      <c r="E117" s="17"/>
      <c r="F117" s="153">
        <v>0.19</v>
      </c>
      <c r="G117" s="27" t="s">
        <v>55</v>
      </c>
      <c r="H117" s="21">
        <v>10</v>
      </c>
      <c r="I117" s="886">
        <f>IF(A117=2,Vergütungen_Original!E97,Vergütungen_Original!F97)</f>
        <v>0.122</v>
      </c>
      <c r="J117" s="36">
        <v>40</v>
      </c>
      <c r="K117" s="889">
        <f>IF(A117=2,Vergütungen_Original!H97,Vergütungen_Original!I97)</f>
        <v>0.1187</v>
      </c>
      <c r="L117" s="472">
        <v>1000</v>
      </c>
      <c r="M117" s="889">
        <f>IF(A117=2,Vergütungen_Original!K97,Vergütungen_Original!L97)</f>
        <v>0.1061</v>
      </c>
      <c r="N117" s="473">
        <v>1000</v>
      </c>
      <c r="O117" s="889">
        <f>IF(A117=2,Vergütungen_Original!N97,Vergütungen_Original!O97)</f>
        <v>0</v>
      </c>
      <c r="P117" s="473"/>
      <c r="Q117" s="889">
        <f>IF(A117=2,Vergütungen_Original!T97,Vergütungen_Original!U97)</f>
        <v>8.4400000000000003E-2</v>
      </c>
      <c r="R117" s="1628">
        <f>IF(A117=2,Vergütungen_Original!AA97,Vergütungen_Original!Z97)</f>
        <v>100</v>
      </c>
      <c r="S117" s="1629"/>
      <c r="T117" s="1629"/>
      <c r="U117" s="1630"/>
      <c r="V117" s="60"/>
      <c r="W117" s="62"/>
      <c r="X117" s="60"/>
      <c r="Y117" s="62"/>
      <c r="Z117" s="61"/>
      <c r="AA117" s="61"/>
      <c r="AB117" s="53"/>
      <c r="AC117" s="74">
        <v>0</v>
      </c>
      <c r="AD117" s="53"/>
      <c r="AE117" s="74">
        <v>0</v>
      </c>
      <c r="AF117" s="53"/>
      <c r="AG117" s="74">
        <v>0</v>
      </c>
      <c r="AH117" s="1105">
        <v>10000</v>
      </c>
      <c r="AI117" s="1103">
        <v>100</v>
      </c>
      <c r="AJ117" s="1103">
        <v>10</v>
      </c>
      <c r="AK117" s="1103">
        <v>10000</v>
      </c>
      <c r="AL117" s="54"/>
      <c r="AM117" s="54"/>
      <c r="AN117" s="54"/>
      <c r="AO117" s="10"/>
      <c r="AP117" s="10"/>
    </row>
    <row r="118" spans="1:42" s="6" customFormat="1" ht="15" customHeight="1" thickTop="1" thickBot="1">
      <c r="A118" s="881">
        <f>Kalkulation_Eigenstrom!$E$15</f>
        <v>1</v>
      </c>
      <c r="B118" s="8">
        <v>113</v>
      </c>
      <c r="C118" s="4">
        <v>4</v>
      </c>
      <c r="D118" s="5" t="s">
        <v>1003</v>
      </c>
      <c r="E118" s="17"/>
      <c r="F118" s="153">
        <v>0.19</v>
      </c>
      <c r="G118" s="27" t="s">
        <v>55</v>
      </c>
      <c r="H118" s="21">
        <v>10</v>
      </c>
      <c r="I118" s="886">
        <f>IF(A118=2,Vergütungen_Original!E98,Vergütungen_Original!F98)</f>
        <v>0.122</v>
      </c>
      <c r="J118" s="36">
        <v>40</v>
      </c>
      <c r="K118" s="889">
        <f>IF(A118=2,Vergütungen_Original!H98,Vergütungen_Original!I98)</f>
        <v>0.1187</v>
      </c>
      <c r="L118" s="472">
        <v>1000</v>
      </c>
      <c r="M118" s="889">
        <f>IF(A118=2,Vergütungen_Original!K98,Vergütungen_Original!L98)</f>
        <v>0.1061</v>
      </c>
      <c r="N118" s="473">
        <v>1000</v>
      </c>
      <c r="O118" s="889">
        <f>IF(A118=2,Vergütungen_Original!N98,Vergütungen_Original!O98)</f>
        <v>0</v>
      </c>
      <c r="P118" s="473"/>
      <c r="Q118" s="889">
        <f>IF(A118=2,Vergütungen_Original!T98,Vergütungen_Original!U98)</f>
        <v>8.4400000000000003E-2</v>
      </c>
      <c r="R118" s="1628">
        <f>IF(A118=2,Vergütungen_Original!AA98,Vergütungen_Original!Z98)</f>
        <v>100</v>
      </c>
      <c r="S118" s="1629"/>
      <c r="T118" s="1629"/>
      <c r="U118" s="1630"/>
      <c r="V118" s="60"/>
      <c r="W118" s="62"/>
      <c r="X118" s="60"/>
      <c r="Y118" s="62"/>
      <c r="Z118" s="61"/>
      <c r="AA118" s="61"/>
      <c r="AB118" s="53"/>
      <c r="AC118" s="74">
        <v>0</v>
      </c>
      <c r="AD118" s="53"/>
      <c r="AE118" s="74">
        <v>0</v>
      </c>
      <c r="AF118" s="53"/>
      <c r="AG118" s="74">
        <v>0</v>
      </c>
      <c r="AH118" s="1105">
        <v>10000</v>
      </c>
      <c r="AI118" s="1103">
        <v>100</v>
      </c>
      <c r="AJ118" s="1103">
        <v>10</v>
      </c>
      <c r="AK118" s="1103">
        <v>10000</v>
      </c>
      <c r="AL118" s="54"/>
      <c r="AM118" s="54"/>
      <c r="AN118" s="54"/>
      <c r="AO118" s="10"/>
      <c r="AP118" s="10"/>
    </row>
    <row r="119" spans="1:42" s="6" customFormat="1" ht="15" customHeight="1" thickTop="1" thickBot="1">
      <c r="A119" s="881">
        <f>Kalkulation_Eigenstrom!$E$15</f>
        <v>1</v>
      </c>
      <c r="B119" s="8">
        <v>114</v>
      </c>
      <c r="C119" s="4">
        <v>4</v>
      </c>
      <c r="D119" s="5" t="s">
        <v>891</v>
      </c>
      <c r="E119" s="17"/>
      <c r="F119" s="153">
        <v>0.19</v>
      </c>
      <c r="G119" s="27" t="s">
        <v>55</v>
      </c>
      <c r="H119" s="21">
        <v>10</v>
      </c>
      <c r="I119" s="886">
        <f>IF(A119=2,Vergütungen_Original!E99,Vergütungen_Original!F99)</f>
        <v>0.122</v>
      </c>
      <c r="J119" s="36">
        <v>40</v>
      </c>
      <c r="K119" s="889">
        <f>IF(A119=2,Vergütungen_Original!H99,Vergütungen_Original!I99)</f>
        <v>0.1187</v>
      </c>
      <c r="L119" s="472">
        <v>1000</v>
      </c>
      <c r="M119" s="889">
        <f>IF(A119=2,Vergütungen_Original!K99,Vergütungen_Original!L99)</f>
        <v>0.1061</v>
      </c>
      <c r="N119" s="473">
        <v>1000</v>
      </c>
      <c r="O119" s="889">
        <f>IF(A119=2,Vergütungen_Original!N99,Vergütungen_Original!O99)</f>
        <v>0</v>
      </c>
      <c r="P119" s="473"/>
      <c r="Q119" s="889">
        <f>IF(A119=2,Vergütungen_Original!T99,Vergütungen_Original!U99)</f>
        <v>8.4400000000000003E-2</v>
      </c>
      <c r="R119" s="1628">
        <f>IF(A119=2,Vergütungen_Original!AA99,Vergütungen_Original!Z99)</f>
        <v>100</v>
      </c>
      <c r="S119" s="1629"/>
      <c r="T119" s="1629"/>
      <c r="U119" s="1630"/>
      <c r="V119" s="60"/>
      <c r="W119" s="62"/>
      <c r="X119" s="60"/>
      <c r="Y119" s="62"/>
      <c r="Z119" s="61"/>
      <c r="AA119" s="61"/>
      <c r="AB119" s="53"/>
      <c r="AC119" s="74">
        <v>0</v>
      </c>
      <c r="AD119" s="53"/>
      <c r="AE119" s="74">
        <v>0</v>
      </c>
      <c r="AF119" s="53"/>
      <c r="AG119" s="74">
        <v>0</v>
      </c>
      <c r="AH119" s="1105">
        <v>10000</v>
      </c>
      <c r="AI119" s="1103">
        <v>100</v>
      </c>
      <c r="AJ119" s="1103">
        <v>10</v>
      </c>
      <c r="AK119" s="1103">
        <v>10000</v>
      </c>
      <c r="AL119" s="54"/>
      <c r="AM119" s="54"/>
      <c r="AN119" s="54"/>
      <c r="AO119" s="10"/>
      <c r="AP119" s="10"/>
    </row>
    <row r="120" spans="1:42" s="6" customFormat="1" ht="15" customHeight="1" thickTop="1" thickBot="1">
      <c r="A120" s="881">
        <f>Kalkulation_Eigenstrom!$E$15</f>
        <v>1</v>
      </c>
      <c r="B120" s="8">
        <v>115</v>
      </c>
      <c r="C120" s="4">
        <v>4</v>
      </c>
      <c r="D120" s="5" t="s">
        <v>892</v>
      </c>
      <c r="E120" s="17"/>
      <c r="F120" s="153">
        <v>0.19</v>
      </c>
      <c r="G120" s="27" t="s">
        <v>55</v>
      </c>
      <c r="H120" s="21">
        <v>10</v>
      </c>
      <c r="I120" s="886">
        <f>IF(A120=2,Vergütungen_Original!E100,Vergütungen_Original!F100)</f>
        <v>0.122</v>
      </c>
      <c r="J120" s="36">
        <v>40</v>
      </c>
      <c r="K120" s="889">
        <f>IF(A120=2,Vergütungen_Original!H100,Vergütungen_Original!I100)</f>
        <v>0.1187</v>
      </c>
      <c r="L120" s="472">
        <v>1000</v>
      </c>
      <c r="M120" s="889">
        <f>IF(A120=2,Vergütungen_Original!K100,Vergütungen_Original!L100)</f>
        <v>0.1061</v>
      </c>
      <c r="N120" s="473">
        <v>1000</v>
      </c>
      <c r="O120" s="889">
        <f>IF(A120=2,Vergütungen_Original!N100,Vergütungen_Original!O100)</f>
        <v>0</v>
      </c>
      <c r="P120" s="473"/>
      <c r="Q120" s="889">
        <f>IF(A120=2,Vergütungen_Original!T100,Vergütungen_Original!U100)</f>
        <v>8.4400000000000003E-2</v>
      </c>
      <c r="R120" s="1628">
        <f>IF(A120=2,Vergütungen_Original!AA100,Vergütungen_Original!Z100)</f>
        <v>100</v>
      </c>
      <c r="S120" s="1629"/>
      <c r="T120" s="1629"/>
      <c r="U120" s="1630"/>
      <c r="V120" s="60"/>
      <c r="W120" s="62"/>
      <c r="X120" s="60"/>
      <c r="Y120" s="62"/>
      <c r="Z120" s="61"/>
      <c r="AA120" s="61"/>
      <c r="AB120" s="53"/>
      <c r="AC120" s="74">
        <v>0</v>
      </c>
      <c r="AD120" s="53"/>
      <c r="AE120" s="74">
        <v>0</v>
      </c>
      <c r="AF120" s="53"/>
      <c r="AG120" s="74">
        <v>0</v>
      </c>
      <c r="AH120" s="1105">
        <v>10000</v>
      </c>
      <c r="AI120" s="1103">
        <v>100</v>
      </c>
      <c r="AJ120" s="1103">
        <v>10</v>
      </c>
      <c r="AK120" s="1103">
        <v>10000</v>
      </c>
      <c r="AL120" s="54"/>
      <c r="AM120" s="54"/>
      <c r="AN120" s="54"/>
      <c r="AO120" s="10"/>
      <c r="AP120" s="10"/>
    </row>
    <row r="121" spans="1:42" s="6" customFormat="1" ht="15" customHeight="1" thickTop="1" thickBot="1">
      <c r="A121" s="881">
        <f>Kalkulation_Eigenstrom!$E$15</f>
        <v>1</v>
      </c>
      <c r="B121" s="8">
        <v>116</v>
      </c>
      <c r="C121" s="4">
        <v>4</v>
      </c>
      <c r="D121" s="5" t="s">
        <v>1007</v>
      </c>
      <c r="E121" s="17"/>
      <c r="F121" s="153">
        <v>0.19</v>
      </c>
      <c r="G121" s="27" t="s">
        <v>55</v>
      </c>
      <c r="H121" s="21">
        <v>10</v>
      </c>
      <c r="I121" s="886">
        <f>IF(A121=2,Vergütungen_Original!E101,Vergütungen_Original!F101)</f>
        <v>0.1208</v>
      </c>
      <c r="J121" s="36">
        <v>40</v>
      </c>
      <c r="K121" s="889">
        <f>IF(A121=2,Vergütungen_Original!H101,Vergütungen_Original!I101)</f>
        <v>0.1174</v>
      </c>
      <c r="L121" s="472">
        <v>1000</v>
      </c>
      <c r="M121" s="889">
        <f>IF(A121=2,Vergütungen_Original!K101,Vergütungen_Original!L101)</f>
        <v>0.105</v>
      </c>
      <c r="N121" s="473">
        <v>1000</v>
      </c>
      <c r="O121" s="889">
        <f>IF(A121=2,Vergütungen_Original!N101,Vergütungen_Original!O101)</f>
        <v>0</v>
      </c>
      <c r="P121" s="473"/>
      <c r="Q121" s="889">
        <f>IF(A121=2,Vergütungen_Original!T101,Vergütungen_Original!U101)</f>
        <v>8.3500000000000005E-2</v>
      </c>
      <c r="R121" s="1628">
        <f>IF(A121=2,Vergütungen_Original!AA101,Vergütungen_Original!Z101)</f>
        <v>100</v>
      </c>
      <c r="S121" s="1629"/>
      <c r="T121" s="1629"/>
      <c r="U121" s="1630"/>
      <c r="V121" s="60"/>
      <c r="W121" s="62"/>
      <c r="X121" s="60"/>
      <c r="Y121" s="62"/>
      <c r="Z121" s="61"/>
      <c r="AA121" s="61"/>
      <c r="AB121" s="53"/>
      <c r="AC121" s="74">
        <v>0</v>
      </c>
      <c r="AD121" s="53"/>
      <c r="AE121" s="74">
        <v>0</v>
      </c>
      <c r="AF121" s="53"/>
      <c r="AG121" s="74">
        <v>0</v>
      </c>
      <c r="AH121" s="1105">
        <v>10000</v>
      </c>
      <c r="AI121" s="1103">
        <v>100</v>
      </c>
      <c r="AJ121" s="1103">
        <v>10</v>
      </c>
      <c r="AK121" s="1103">
        <v>10000</v>
      </c>
      <c r="AL121" s="54"/>
      <c r="AM121" s="54"/>
      <c r="AN121" s="54"/>
      <c r="AO121" s="10"/>
      <c r="AP121" s="10"/>
    </row>
    <row r="122" spans="1:42" s="6" customFormat="1" ht="15" customHeight="1" thickTop="1" thickBot="1">
      <c r="A122" s="881">
        <f>Kalkulation_Eigenstrom!$E$15</f>
        <v>1</v>
      </c>
      <c r="B122" s="8">
        <v>117</v>
      </c>
      <c r="C122" s="4">
        <v>4</v>
      </c>
      <c r="D122" s="5" t="s">
        <v>893</v>
      </c>
      <c r="E122" s="17"/>
      <c r="F122" s="153">
        <v>0.19</v>
      </c>
      <c r="G122" s="27" t="s">
        <v>55</v>
      </c>
      <c r="H122" s="21">
        <v>10</v>
      </c>
      <c r="I122" s="886">
        <f>IF(A122=2,Vergütungen_Original!E102,Vergütungen_Original!F102)</f>
        <v>0.1195</v>
      </c>
      <c r="J122" s="36">
        <v>40</v>
      </c>
      <c r="K122" s="889">
        <f>IF(A122=2,Vergütungen_Original!H102,Vergütungen_Original!I102)</f>
        <v>0.1162</v>
      </c>
      <c r="L122" s="472">
        <v>1000</v>
      </c>
      <c r="M122" s="889">
        <f>IF(A122=2,Vergütungen_Original!K102,Vergütungen_Original!L102)</f>
        <v>0.10390000000000001</v>
      </c>
      <c r="N122" s="473">
        <v>1000</v>
      </c>
      <c r="O122" s="889">
        <f>IF(A122=2,Vergütungen_Original!N102,Vergütungen_Original!O102)</f>
        <v>0</v>
      </c>
      <c r="P122" s="473"/>
      <c r="Q122" s="889">
        <f>IF(A122=2,Vergütungen_Original!T102,Vergütungen_Original!U102)</f>
        <v>8.2699999999999996E-2</v>
      </c>
      <c r="R122" s="1628">
        <f>IF(A122=2,Vergütungen_Original!AA102,Vergütungen_Original!Z102)</f>
        <v>100</v>
      </c>
      <c r="S122" s="1629"/>
      <c r="T122" s="1629"/>
      <c r="U122" s="1630"/>
      <c r="V122" s="60"/>
      <c r="W122" s="62"/>
      <c r="X122" s="60"/>
      <c r="Y122" s="62"/>
      <c r="Z122" s="61"/>
      <c r="AA122" s="61"/>
      <c r="AB122" s="53"/>
      <c r="AC122" s="74">
        <v>0</v>
      </c>
      <c r="AD122" s="53"/>
      <c r="AE122" s="74">
        <v>0</v>
      </c>
      <c r="AF122" s="53"/>
      <c r="AG122" s="74">
        <v>0</v>
      </c>
      <c r="AH122" s="1105">
        <v>10000</v>
      </c>
      <c r="AI122" s="1103">
        <v>100</v>
      </c>
      <c r="AJ122" s="1103">
        <v>10</v>
      </c>
      <c r="AK122" s="1103">
        <v>10000</v>
      </c>
      <c r="AL122" s="54"/>
      <c r="AM122" s="54"/>
      <c r="AN122" s="54"/>
      <c r="AO122" s="10"/>
      <c r="AP122" s="10"/>
    </row>
    <row r="123" spans="1:42" s="6" customFormat="1" ht="15" customHeight="1" thickTop="1" thickBot="1">
      <c r="A123" s="881">
        <f>Kalkulation_Eigenstrom!$E$15</f>
        <v>1</v>
      </c>
      <c r="B123" s="8">
        <v>118</v>
      </c>
      <c r="C123" s="4">
        <v>4</v>
      </c>
      <c r="D123" s="5" t="s">
        <v>894</v>
      </c>
      <c r="E123" s="17"/>
      <c r="F123" s="153">
        <v>0.19</v>
      </c>
      <c r="G123" s="27" t="s">
        <v>55</v>
      </c>
      <c r="H123" s="21">
        <v>10</v>
      </c>
      <c r="I123" s="886">
        <f>IF(A123=2,Vergütungen_Original!E103,Vergütungen_Original!F103)</f>
        <v>0.1183</v>
      </c>
      <c r="J123" s="36">
        <v>40</v>
      </c>
      <c r="K123" s="889">
        <f>IF(A123=2,Vergütungen_Original!H103,Vergütungen_Original!I103)</f>
        <v>0.115</v>
      </c>
      <c r="L123" s="472">
        <v>1000</v>
      </c>
      <c r="M123" s="889">
        <f>IF(A123=2,Vergütungen_Original!K103,Vergütungen_Original!L103)</f>
        <v>0.1028</v>
      </c>
      <c r="N123" s="473">
        <v>1000</v>
      </c>
      <c r="O123" s="889">
        <f>IF(A123=2,Vergütungen_Original!N103,Vergütungen_Original!O103)</f>
        <v>8.1799999999999998E-2</v>
      </c>
      <c r="P123" s="473"/>
      <c r="Q123" s="889">
        <f>IF(A123=2,Vergütungen_Original!T103,Vergütungen_Original!U103)</f>
        <v>8.1799999999999998E-2</v>
      </c>
      <c r="R123" s="1628">
        <f>IF(A123=2,Vergütungen_Original!AA103,Vergütungen_Original!Z103)</f>
        <v>100</v>
      </c>
      <c r="S123" s="1629"/>
      <c r="T123" s="1629"/>
      <c r="U123" s="1630"/>
      <c r="V123" s="60"/>
      <c r="W123" s="62"/>
      <c r="X123" s="60"/>
      <c r="Y123" s="62"/>
      <c r="Z123" s="61"/>
      <c r="AA123" s="61"/>
      <c r="AB123" s="53"/>
      <c r="AC123" s="74">
        <v>0</v>
      </c>
      <c r="AD123" s="53"/>
      <c r="AE123" s="74">
        <v>0</v>
      </c>
      <c r="AF123" s="53"/>
      <c r="AG123" s="74">
        <v>0</v>
      </c>
      <c r="AH123" s="1105">
        <v>10000</v>
      </c>
      <c r="AI123" s="1103">
        <v>100</v>
      </c>
      <c r="AJ123" s="1103">
        <v>10</v>
      </c>
      <c r="AK123" s="1103">
        <v>10000</v>
      </c>
      <c r="AL123" s="54"/>
      <c r="AM123" s="54"/>
      <c r="AN123" s="54"/>
      <c r="AO123" s="10"/>
      <c r="AP123" s="10"/>
    </row>
    <row r="124" spans="1:42" s="6" customFormat="1" ht="15" customHeight="1" thickTop="1" thickBot="1">
      <c r="A124" s="881">
        <f>Kalkulation_Eigenstrom!$E$15</f>
        <v>1</v>
      </c>
      <c r="B124" s="8">
        <v>119</v>
      </c>
      <c r="C124" s="4">
        <v>4</v>
      </c>
      <c r="D124" s="5" t="s">
        <v>895</v>
      </c>
      <c r="E124" s="17"/>
      <c r="F124" s="153">
        <v>0.19</v>
      </c>
      <c r="G124" s="27" t="s">
        <v>55</v>
      </c>
      <c r="H124" s="21">
        <v>10</v>
      </c>
      <c r="I124" s="886">
        <f>IF(A124=2,Vergütungen_Original!E104,Vergütungen_Original!F104)</f>
        <v>0.1171</v>
      </c>
      <c r="J124" s="36">
        <v>40</v>
      </c>
      <c r="K124" s="889">
        <f>IF(A124=2,Vergütungen_Original!H104,Vergütungen_Original!I104)</f>
        <v>0.1138</v>
      </c>
      <c r="L124" s="472">
        <v>1000</v>
      </c>
      <c r="M124" s="889">
        <f>IF(A124=2,Vergütungen_Original!K104,Vergütungen_Original!L104)</f>
        <v>0.1017</v>
      </c>
      <c r="N124" s="473">
        <v>1000</v>
      </c>
      <c r="O124" s="889">
        <f>IF(A124=2,Vergütungen_Original!N104,Vergütungen_Original!O104)</f>
        <v>8.09E-2</v>
      </c>
      <c r="P124" s="473"/>
      <c r="Q124" s="889">
        <f>IF(A124=2,Vergütungen_Original!T104,Vergütungen_Original!U104)</f>
        <v>8.09E-2</v>
      </c>
      <c r="R124" s="1628">
        <f>IF(A124=2,Vergütungen_Original!AA104,Vergütungen_Original!Z104)</f>
        <v>100</v>
      </c>
      <c r="S124" s="1629"/>
      <c r="T124" s="1629"/>
      <c r="U124" s="1630"/>
      <c r="V124" s="60"/>
      <c r="W124" s="62"/>
      <c r="X124" s="60"/>
      <c r="Y124" s="62"/>
      <c r="Z124" s="61"/>
      <c r="AA124" s="61"/>
      <c r="AB124" s="53"/>
      <c r="AC124" s="74">
        <v>0</v>
      </c>
      <c r="AD124" s="53"/>
      <c r="AE124" s="74">
        <v>0</v>
      </c>
      <c r="AF124" s="53"/>
      <c r="AG124" s="74">
        <v>0</v>
      </c>
      <c r="AH124" s="1105">
        <v>10000</v>
      </c>
      <c r="AI124" s="1103">
        <v>100</v>
      </c>
      <c r="AJ124" s="1103">
        <v>10</v>
      </c>
      <c r="AK124" s="1103">
        <v>10000</v>
      </c>
      <c r="AL124" s="54"/>
      <c r="AM124" s="54"/>
      <c r="AN124" s="54"/>
      <c r="AO124" s="10"/>
      <c r="AP124" s="10"/>
    </row>
    <row r="125" spans="1:42" s="6" customFormat="1" ht="15" customHeight="1" thickTop="1" thickBot="1">
      <c r="A125" s="881">
        <f>Kalkulation_Eigenstrom!$E$15</f>
        <v>1</v>
      </c>
      <c r="B125" s="8">
        <v>120</v>
      </c>
      <c r="C125" s="4">
        <v>4</v>
      </c>
      <c r="D125" s="5" t="s">
        <v>896</v>
      </c>
      <c r="E125" s="17"/>
      <c r="F125" s="153">
        <v>0.19</v>
      </c>
      <c r="G125" s="27" t="s">
        <v>55</v>
      </c>
      <c r="H125" s="21">
        <v>10</v>
      </c>
      <c r="I125" s="886">
        <f>IF(A125=2,Vergütungen_Original!E105,Vergütungen_Original!F105)</f>
        <v>0.1159</v>
      </c>
      <c r="J125" s="36">
        <v>40</v>
      </c>
      <c r="K125" s="889">
        <f>IF(A125=2,Vergütungen_Original!H105,Vergütungen_Original!I105)</f>
        <v>0.11269999999999999</v>
      </c>
      <c r="L125" s="472">
        <v>1000</v>
      </c>
      <c r="M125" s="889">
        <f>IF(A125=2,Vergütungen_Original!K105,Vergütungen_Original!L105)</f>
        <v>0.1007</v>
      </c>
      <c r="N125" s="473">
        <v>1000</v>
      </c>
      <c r="O125" s="889">
        <f>IF(A125=2,Vergütungen_Original!N105,Vergütungen_Original!O105)</f>
        <v>8.0100000000000005E-2</v>
      </c>
      <c r="P125" s="473"/>
      <c r="Q125" s="889">
        <f>IF(A125=2,Vergütungen_Original!T105,Vergütungen_Original!U105)</f>
        <v>8.0100000000000005E-2</v>
      </c>
      <c r="R125" s="1628">
        <f>IF(A125=2,Vergütungen_Original!AA105,Vergütungen_Original!Z105)</f>
        <v>100</v>
      </c>
      <c r="S125" s="1629"/>
      <c r="T125" s="1629"/>
      <c r="U125" s="1630"/>
      <c r="V125" s="60"/>
      <c r="W125" s="62"/>
      <c r="X125" s="60"/>
      <c r="Y125" s="62"/>
      <c r="Z125" s="61"/>
      <c r="AA125" s="61"/>
      <c r="AB125" s="53"/>
      <c r="AC125" s="74">
        <v>0</v>
      </c>
      <c r="AD125" s="53"/>
      <c r="AE125" s="74">
        <v>0</v>
      </c>
      <c r="AF125" s="53"/>
      <c r="AG125" s="74">
        <v>0</v>
      </c>
      <c r="AH125" s="1105">
        <v>10000</v>
      </c>
      <c r="AI125" s="1103">
        <v>100</v>
      </c>
      <c r="AJ125" s="1103">
        <v>10</v>
      </c>
      <c r="AK125" s="1103">
        <v>10000</v>
      </c>
      <c r="AL125" s="54"/>
      <c r="AM125" s="54"/>
      <c r="AN125" s="54"/>
      <c r="AO125" s="10"/>
      <c r="AP125" s="10"/>
    </row>
    <row r="126" spans="1:42" s="6" customFormat="1" ht="15" customHeight="1" thickTop="1" thickBot="1">
      <c r="A126" s="881">
        <f>Kalkulation_Eigenstrom!$E$15</f>
        <v>1</v>
      </c>
      <c r="B126" s="8">
        <v>121</v>
      </c>
      <c r="C126" s="4">
        <v>4</v>
      </c>
      <c r="D126" s="5" t="s">
        <v>1015</v>
      </c>
      <c r="E126" s="17"/>
      <c r="F126" s="153">
        <v>0.19</v>
      </c>
      <c r="G126" s="27" t="s">
        <v>55</v>
      </c>
      <c r="H126" s="21">
        <v>10</v>
      </c>
      <c r="I126" s="886">
        <f>IF(A126=2,Vergütungen_Original!E106,Vergütungen_Original!F106)</f>
        <v>0.1147</v>
      </c>
      <c r="J126" s="36">
        <v>40</v>
      </c>
      <c r="K126" s="889">
        <f>IF(A126=2,Vergütungen_Original!H106,Vergütungen_Original!I106)</f>
        <v>0.1115</v>
      </c>
      <c r="L126" s="472">
        <v>1000</v>
      </c>
      <c r="M126" s="889">
        <f>IF(A126=2,Vergütungen_Original!K106,Vergütungen_Original!L106)</f>
        <v>9.9599999999999994E-2</v>
      </c>
      <c r="N126" s="473">
        <v>1000</v>
      </c>
      <c r="O126" s="889">
        <f>IF(A126=2,Vergütungen_Original!N106,Vergütungen_Original!O106)</f>
        <v>7.9299999999999995E-2</v>
      </c>
      <c r="P126" s="473"/>
      <c r="Q126" s="889">
        <f>IF(A126=2,Vergütungen_Original!T106,Vergütungen_Original!U106)</f>
        <v>7.9299999999999995E-2</v>
      </c>
      <c r="R126" s="1628">
        <f>IF(A126=2,Vergütungen_Original!AA106,Vergütungen_Original!Z106)</f>
        <v>100</v>
      </c>
      <c r="S126" s="1629"/>
      <c r="T126" s="1629"/>
      <c r="U126" s="1630"/>
      <c r="V126" s="60"/>
      <c r="W126" s="62"/>
      <c r="X126" s="60"/>
      <c r="Y126" s="62"/>
      <c r="Z126" s="61"/>
      <c r="AA126" s="61"/>
      <c r="AB126" s="53"/>
      <c r="AC126" s="74">
        <v>0</v>
      </c>
      <c r="AD126" s="53"/>
      <c r="AE126" s="74">
        <v>0</v>
      </c>
      <c r="AF126" s="53"/>
      <c r="AG126" s="74">
        <v>0</v>
      </c>
      <c r="AH126" s="1105">
        <v>10000</v>
      </c>
      <c r="AI126" s="1103">
        <v>100</v>
      </c>
      <c r="AJ126" s="1103">
        <v>10</v>
      </c>
      <c r="AK126" s="1103">
        <v>10000</v>
      </c>
      <c r="AL126" s="54"/>
      <c r="AM126" s="54"/>
      <c r="AN126" s="54"/>
      <c r="AO126" s="10"/>
      <c r="AP126" s="10"/>
    </row>
    <row r="127" spans="1:42" s="6" customFormat="1" ht="15" customHeight="1" thickTop="1" thickBot="1">
      <c r="A127" s="881">
        <f>Kalkulation_Eigenstrom!$E$15</f>
        <v>1</v>
      </c>
      <c r="B127" s="8">
        <v>122</v>
      </c>
      <c r="C127" s="4">
        <v>4</v>
      </c>
      <c r="D127" s="5" t="s">
        <v>1016</v>
      </c>
      <c r="E127" s="17"/>
      <c r="F127" s="153">
        <v>0.19</v>
      </c>
      <c r="G127" s="27" t="s">
        <v>55</v>
      </c>
      <c r="H127" s="21">
        <v>10</v>
      </c>
      <c r="I127" s="886">
        <f>IF(A127=2,Vergütungen_Original!E107,Vergütungen_Original!F107)</f>
        <v>0.1135</v>
      </c>
      <c r="J127" s="36">
        <v>40</v>
      </c>
      <c r="K127" s="889">
        <f>IF(A127=2,Vergütungen_Original!H107,Vergütungen_Original!I107)</f>
        <v>0.1103</v>
      </c>
      <c r="L127" s="472">
        <v>1000</v>
      </c>
      <c r="M127" s="889">
        <f>IF(A127=2,Vergütungen_Original!K107,Vergütungen_Original!L107)</f>
        <v>9.4700000000000006E-2</v>
      </c>
      <c r="N127" s="473">
        <v>1000</v>
      </c>
      <c r="O127" s="889">
        <f>IF(A127=2,Vergütungen_Original!N107,Vergütungen_Original!O107)</f>
        <v>7.8399999999999997E-2</v>
      </c>
      <c r="P127" s="473"/>
      <c r="Q127" s="889">
        <f>IF(A127=2,Vergütungen_Original!T107,Vergütungen_Original!U107)</f>
        <v>7.8399999999999997E-2</v>
      </c>
      <c r="R127" s="1628">
        <f>IF(A127=2,Vergütungen_Original!AA107,Vergütungen_Original!Z107)</f>
        <v>100</v>
      </c>
      <c r="S127" s="1629"/>
      <c r="T127" s="1629"/>
      <c r="U127" s="1630"/>
      <c r="V127" s="60"/>
      <c r="W127" s="62"/>
      <c r="X127" s="60"/>
      <c r="Y127" s="62"/>
      <c r="Z127" s="61"/>
      <c r="AA127" s="61"/>
      <c r="AB127" s="53"/>
      <c r="AC127" s="74">
        <v>0</v>
      </c>
      <c r="AD127" s="53"/>
      <c r="AE127" s="74">
        <v>0</v>
      </c>
      <c r="AF127" s="53"/>
      <c r="AG127" s="74">
        <v>0</v>
      </c>
      <c r="AH127" s="1105">
        <v>10000</v>
      </c>
      <c r="AI127" s="1103">
        <v>100</v>
      </c>
      <c r="AJ127" s="1103">
        <v>10</v>
      </c>
      <c r="AK127" s="1103">
        <v>10000</v>
      </c>
      <c r="AL127" s="54"/>
      <c r="AM127" s="54"/>
      <c r="AN127" s="54"/>
      <c r="AO127" s="10"/>
      <c r="AP127" s="10"/>
    </row>
    <row r="128" spans="1:42" s="6" customFormat="1" ht="15" customHeight="1" thickTop="1" thickBot="1">
      <c r="A128" s="881">
        <f>Kalkulation_Eigenstrom!$E$15</f>
        <v>1</v>
      </c>
      <c r="B128" s="8">
        <v>123</v>
      </c>
      <c r="C128" s="4">
        <v>4</v>
      </c>
      <c r="D128" s="5" t="s">
        <v>1017</v>
      </c>
      <c r="E128" s="17"/>
      <c r="F128" s="153">
        <v>0.19</v>
      </c>
      <c r="G128" s="27" t="s">
        <v>55</v>
      </c>
      <c r="H128" s="21">
        <v>10</v>
      </c>
      <c r="I128" s="886">
        <f>IF(A128=2,Vergütungen_Original!E108,Vergütungen_Original!F108)</f>
        <v>0.1123</v>
      </c>
      <c r="J128" s="36">
        <v>40</v>
      </c>
      <c r="K128" s="889">
        <f>IF(A128=2,Vergütungen_Original!H108,Vergütungen_Original!I108)</f>
        <v>0.10920000000000001</v>
      </c>
      <c r="L128" s="472">
        <v>1000</v>
      </c>
      <c r="M128" s="889">
        <f>IF(A128=2,Vergütungen_Original!K108,Vergütungen_Original!L108)</f>
        <v>8.9899999999999994E-2</v>
      </c>
      <c r="N128" s="473">
        <v>1000</v>
      </c>
      <c r="O128" s="889">
        <f>IF(A128=2,Vergütungen_Original!N108,Vergütungen_Original!O108)</f>
        <v>7.7600000000000002E-2</v>
      </c>
      <c r="P128" s="473"/>
      <c r="Q128" s="889">
        <f>IF(A128=2,Vergütungen_Original!T108,Vergütungen_Original!U108)</f>
        <v>7.7600000000000002E-2</v>
      </c>
      <c r="R128" s="1628">
        <f>IF(A128=2,Vergütungen_Original!AA108,Vergütungen_Original!Z108)</f>
        <v>100</v>
      </c>
      <c r="S128" s="1629"/>
      <c r="T128" s="1629"/>
      <c r="U128" s="1630"/>
      <c r="V128" s="60"/>
      <c r="W128" s="62"/>
      <c r="X128" s="60"/>
      <c r="Y128" s="62"/>
      <c r="Z128" s="61"/>
      <c r="AA128" s="61"/>
      <c r="AB128" s="53"/>
      <c r="AC128" s="74">
        <v>0</v>
      </c>
      <c r="AD128" s="53"/>
      <c r="AE128" s="74">
        <v>0</v>
      </c>
      <c r="AF128" s="53"/>
      <c r="AG128" s="74">
        <v>0</v>
      </c>
      <c r="AH128" s="1105">
        <v>10000</v>
      </c>
      <c r="AI128" s="1103">
        <v>100</v>
      </c>
      <c r="AJ128" s="1103">
        <v>10</v>
      </c>
      <c r="AK128" s="1103">
        <v>10000</v>
      </c>
      <c r="AL128" s="54"/>
      <c r="AM128" s="54"/>
      <c r="AN128" s="54"/>
      <c r="AO128" s="10"/>
      <c r="AP128" s="10"/>
    </row>
    <row r="129" spans="1:42" s="6" customFormat="1" ht="15" customHeight="1" thickTop="1" thickBot="1">
      <c r="A129" s="881">
        <f>Kalkulation_Eigenstrom!$E$15</f>
        <v>1</v>
      </c>
      <c r="B129" s="8">
        <v>124</v>
      </c>
      <c r="C129" s="4">
        <v>4</v>
      </c>
      <c r="D129" s="5" t="s">
        <v>1018</v>
      </c>
      <c r="E129" s="17"/>
      <c r="F129" s="153">
        <v>0.19</v>
      </c>
      <c r="G129" s="27" t="s">
        <v>55</v>
      </c>
      <c r="H129" s="21">
        <v>10</v>
      </c>
      <c r="I129" s="886">
        <f>IF(A129=2,Vergütungen_Original!E109,Vergütungen_Original!F109)</f>
        <v>0.1111</v>
      </c>
      <c r="J129" s="36">
        <v>40</v>
      </c>
      <c r="K129" s="889">
        <f>IF(A129=2,Vergütungen_Original!H109,Vergütungen_Original!I109)</f>
        <v>0.1081</v>
      </c>
      <c r="L129" s="472">
        <v>1000</v>
      </c>
      <c r="M129" s="889">
        <f>IF(A129=2,Vergütungen_Original!K109,Vergütungen_Original!L109)</f>
        <v>8.5000000000000006E-2</v>
      </c>
      <c r="N129" s="473">
        <v>1000</v>
      </c>
      <c r="O129" s="889">
        <f>IF(A129=2,Vergütungen_Original!N109,Vergütungen_Original!O109)</f>
        <v>7.6799999999999993E-2</v>
      </c>
      <c r="P129" s="473"/>
      <c r="Q129" s="889">
        <f>IF(A129=2,Vergütungen_Original!T109,Vergütungen_Original!U109)</f>
        <v>7.6799999999999993E-2</v>
      </c>
      <c r="R129" s="1628">
        <f>IF(A129=2,Vergütungen_Original!AA109,Vergütungen_Original!Z109)</f>
        <v>100</v>
      </c>
      <c r="S129" s="1629"/>
      <c r="T129" s="1629"/>
      <c r="U129" s="1630"/>
      <c r="V129" s="60"/>
      <c r="W129" s="62"/>
      <c r="X129" s="60"/>
      <c r="Y129" s="62"/>
      <c r="Z129" s="61"/>
      <c r="AA129" s="61"/>
      <c r="AB129" s="53"/>
      <c r="AC129" s="74">
        <v>0</v>
      </c>
      <c r="AD129" s="53"/>
      <c r="AE129" s="74">
        <v>0</v>
      </c>
      <c r="AF129" s="53"/>
      <c r="AG129" s="74">
        <v>0</v>
      </c>
      <c r="AH129" s="1105">
        <v>10000</v>
      </c>
      <c r="AI129" s="1103">
        <v>100</v>
      </c>
      <c r="AJ129" s="1103">
        <v>10</v>
      </c>
      <c r="AK129" s="1103">
        <v>10000</v>
      </c>
      <c r="AL129" s="54"/>
      <c r="AM129" s="54"/>
      <c r="AN129" s="54"/>
      <c r="AO129" s="10"/>
      <c r="AP129" s="10"/>
    </row>
    <row r="130" spans="1:42" s="6" customFormat="1" ht="15" customHeight="1" thickTop="1" thickBot="1">
      <c r="A130" s="881">
        <f>Kalkulation_Eigenstrom!$E$15</f>
        <v>1</v>
      </c>
      <c r="B130" s="8">
        <v>125</v>
      </c>
      <c r="C130" s="4">
        <v>4</v>
      </c>
      <c r="D130" s="5" t="s">
        <v>1049</v>
      </c>
      <c r="E130" s="17"/>
      <c r="F130" s="153">
        <v>0.19</v>
      </c>
      <c r="G130" s="27" t="s">
        <v>55</v>
      </c>
      <c r="H130" s="21">
        <v>10</v>
      </c>
      <c r="I130" s="886">
        <f>IF(A130=2,Vergütungen_Original!E110,Vergütungen_Original!F110)</f>
        <v>0.1095</v>
      </c>
      <c r="J130" s="36">
        <v>40</v>
      </c>
      <c r="K130" s="889">
        <f>IF(A130=2,Vergütungen_Original!H110,Vergütungen_Original!I110)</f>
        <v>0.1065</v>
      </c>
      <c r="L130" s="472">
        <v>1000</v>
      </c>
      <c r="M130" s="889">
        <f>IF(A130=2,Vergütungen_Original!K110,Vergütungen_Original!L110)</f>
        <v>8.3799999999999999E-2</v>
      </c>
      <c r="N130" s="473">
        <v>1000</v>
      </c>
      <c r="O130" s="889">
        <f>IF(A130=2,Vergütungen_Original!N110,Vergütungen_Original!O110)</f>
        <v>7.5700000000000003E-2</v>
      </c>
      <c r="P130" s="473"/>
      <c r="Q130" s="889">
        <f>IF(A130=2,Vergütungen_Original!T110,Vergütungen_Original!U110)</f>
        <v>7.5700000000000003E-2</v>
      </c>
      <c r="R130" s="1628">
        <f>IF(A130=2,Vergütungen_Original!AA110,Vergütungen_Original!Z110)</f>
        <v>100</v>
      </c>
      <c r="S130" s="1629"/>
      <c r="T130" s="1629"/>
      <c r="U130" s="1630"/>
      <c r="V130" s="60"/>
      <c r="W130" s="62"/>
      <c r="X130" s="60"/>
      <c r="Y130" s="62"/>
      <c r="Z130" s="61"/>
      <c r="AA130" s="61"/>
      <c r="AB130" s="53"/>
      <c r="AC130" s="74">
        <v>0</v>
      </c>
      <c r="AD130" s="53"/>
      <c r="AE130" s="74">
        <v>0</v>
      </c>
      <c r="AF130" s="53"/>
      <c r="AG130" s="74">
        <v>0</v>
      </c>
      <c r="AH130" s="1105">
        <v>10000</v>
      </c>
      <c r="AI130" s="1103">
        <v>100</v>
      </c>
      <c r="AJ130" s="1103">
        <v>10</v>
      </c>
      <c r="AK130" s="1103">
        <v>10000</v>
      </c>
      <c r="AL130" s="54"/>
      <c r="AM130" s="54"/>
      <c r="AN130" s="54"/>
      <c r="AO130" s="10"/>
      <c r="AP130" s="10"/>
    </row>
    <row r="131" spans="1:42" s="6" customFormat="1" ht="15" customHeight="1" thickTop="1" thickBot="1">
      <c r="A131" s="881">
        <f>Kalkulation_Eigenstrom!$E$15</f>
        <v>1</v>
      </c>
      <c r="B131" s="8">
        <v>126</v>
      </c>
      <c r="C131" s="4">
        <v>4</v>
      </c>
      <c r="D131" s="5" t="s">
        <v>1019</v>
      </c>
      <c r="E131" s="17"/>
      <c r="F131" s="153">
        <v>0.19</v>
      </c>
      <c r="G131" s="27" t="s">
        <v>55</v>
      </c>
      <c r="H131" s="21">
        <v>10</v>
      </c>
      <c r="I131" s="886">
        <f>IF(A131=2,Vergütungen_Original!E111,Vergütungen_Original!F111)</f>
        <v>0.1079</v>
      </c>
      <c r="J131" s="36">
        <v>40</v>
      </c>
      <c r="K131" s="889">
        <f>IF(A131=2,Vergütungen_Original!H111,Vergütungen_Original!I111)</f>
        <v>0.105</v>
      </c>
      <c r="L131" s="472">
        <v>1000</v>
      </c>
      <c r="M131" s="889">
        <f>IF(A131=2,Vergütungen_Original!K111,Vergütungen_Original!L111)</f>
        <v>8.2500000000000004E-2</v>
      </c>
      <c r="N131" s="473">
        <v>1000</v>
      </c>
      <c r="O131" s="889">
        <f>IF(A131=2,Vergütungen_Original!N111,Vergütungen_Original!O111)</f>
        <v>7.4499999999999997E-2</v>
      </c>
      <c r="P131" s="473"/>
      <c r="Q131" s="889">
        <f>IF(A131=2,Vergütungen_Original!T111,Vergütungen_Original!U111)</f>
        <v>7.4499999999999997E-2</v>
      </c>
      <c r="R131" s="1628">
        <f>IF(A131=2,Vergütungen_Original!AA111,Vergütungen_Original!Z111)</f>
        <v>100</v>
      </c>
      <c r="S131" s="1629"/>
      <c r="T131" s="1629"/>
      <c r="U131" s="1630"/>
      <c r="V131" s="60"/>
      <c r="W131" s="62"/>
      <c r="X131" s="60"/>
      <c r="Y131" s="62"/>
      <c r="Z131" s="61"/>
      <c r="AA131" s="61"/>
      <c r="AB131" s="53"/>
      <c r="AC131" s="74">
        <v>0</v>
      </c>
      <c r="AD131" s="53"/>
      <c r="AE131" s="74">
        <v>0</v>
      </c>
      <c r="AF131" s="53"/>
      <c r="AG131" s="74">
        <v>0</v>
      </c>
      <c r="AH131" s="1105">
        <v>10000</v>
      </c>
      <c r="AI131" s="1103">
        <v>100</v>
      </c>
      <c r="AJ131" s="1103">
        <v>10</v>
      </c>
      <c r="AK131" s="1103">
        <v>10000</v>
      </c>
      <c r="AL131" s="54"/>
      <c r="AM131" s="54"/>
      <c r="AN131" s="54"/>
      <c r="AO131" s="10"/>
      <c r="AP131" s="10"/>
    </row>
    <row r="132" spans="1:42" s="6" customFormat="1" ht="15" customHeight="1" thickTop="1" thickBot="1">
      <c r="A132" s="881">
        <f>Kalkulation_Eigenstrom!$E$15</f>
        <v>1</v>
      </c>
      <c r="B132" s="8">
        <v>127</v>
      </c>
      <c r="C132" s="4">
        <v>4</v>
      </c>
      <c r="D132" s="5" t="s">
        <v>1020</v>
      </c>
      <c r="E132" s="17"/>
      <c r="F132" s="153">
        <v>0.19</v>
      </c>
      <c r="G132" s="27" t="s">
        <v>55</v>
      </c>
      <c r="H132" s="21">
        <v>10</v>
      </c>
      <c r="I132" s="886">
        <f>IF(A132=2,Vergütungen_Original!E112,Vergütungen_Original!F112)</f>
        <v>0.10639999999999999</v>
      </c>
      <c r="J132" s="36">
        <v>40</v>
      </c>
      <c r="K132" s="889">
        <f>IF(A132=2,Vergütungen_Original!H112,Vergütungen_Original!I112)</f>
        <v>0.10340000000000001</v>
      </c>
      <c r="L132" s="472">
        <v>1000</v>
      </c>
      <c r="M132" s="889">
        <f>IF(A132=2,Vergütungen_Original!K112,Vergütungen_Original!L112)</f>
        <v>8.1299999999999997E-2</v>
      </c>
      <c r="N132" s="473">
        <v>1000</v>
      </c>
      <c r="O132" s="889">
        <f>IF(A132=2,Vergütungen_Original!N112,Vergütungen_Original!O112)</f>
        <v>7.3400000000000007E-2</v>
      </c>
      <c r="P132" s="473"/>
      <c r="Q132" s="889">
        <f>IF(A132=2,Vergütungen_Original!T112,Vergütungen_Original!U112)</f>
        <v>7.3400000000000007E-2</v>
      </c>
      <c r="R132" s="1628">
        <f>IF(A132=2,Vergütungen_Original!AA112,Vergütungen_Original!Z112)</f>
        <v>100</v>
      </c>
      <c r="S132" s="1629"/>
      <c r="T132" s="1629"/>
      <c r="U132" s="1630"/>
      <c r="V132" s="60"/>
      <c r="W132" s="62"/>
      <c r="X132" s="60"/>
      <c r="Y132" s="62"/>
      <c r="Z132" s="61"/>
      <c r="AA132" s="61"/>
      <c r="AB132" s="53"/>
      <c r="AC132" s="74">
        <v>0</v>
      </c>
      <c r="AD132" s="53"/>
      <c r="AE132" s="74">
        <v>0</v>
      </c>
      <c r="AF132" s="53"/>
      <c r="AG132" s="74">
        <v>0</v>
      </c>
      <c r="AH132" s="1105">
        <v>10000</v>
      </c>
      <c r="AI132" s="1103">
        <v>100</v>
      </c>
      <c r="AJ132" s="1103">
        <v>10</v>
      </c>
      <c r="AK132" s="1103">
        <v>10000</v>
      </c>
      <c r="AL132" s="54"/>
      <c r="AM132" s="54"/>
      <c r="AN132" s="54"/>
      <c r="AO132" s="10"/>
      <c r="AP132" s="10"/>
    </row>
    <row r="133" spans="1:42" s="6" customFormat="1" ht="15" customHeight="1" thickTop="1" thickBot="1">
      <c r="A133" s="881">
        <f>Kalkulation_Eigenstrom!$E$15</f>
        <v>1</v>
      </c>
      <c r="B133" s="8">
        <v>128</v>
      </c>
      <c r="C133" s="4">
        <v>4</v>
      </c>
      <c r="D133" s="5" t="s">
        <v>1057</v>
      </c>
      <c r="E133" s="17"/>
      <c r="F133" s="153">
        <v>0.19</v>
      </c>
      <c r="G133" s="27" t="s">
        <v>55</v>
      </c>
      <c r="H133" s="21">
        <v>10</v>
      </c>
      <c r="I133" s="886">
        <f>IF(A133=2,Vergütungen_Original!E113,Vergütungen_Original!F113)</f>
        <v>0.1048</v>
      </c>
      <c r="J133" s="36">
        <v>40</v>
      </c>
      <c r="K133" s="889">
        <f>IF(A133=2,Vergütungen_Original!H113,Vergütungen_Original!I113)</f>
        <v>0.1019</v>
      </c>
      <c r="L133" s="472">
        <v>1000</v>
      </c>
      <c r="M133" s="889">
        <f>IF(A133=2,Vergütungen_Original!K113,Vergütungen_Original!L113)</f>
        <v>8.0100000000000005E-2</v>
      </c>
      <c r="N133" s="473">
        <v>1000</v>
      </c>
      <c r="O133" s="889">
        <f>IF(A133=2,Vergütungen_Original!N113,Vergütungen_Original!O113)</f>
        <v>7.2400000000000006E-2</v>
      </c>
      <c r="P133" s="473"/>
      <c r="Q133" s="889">
        <f>IF(A133=2,Vergütungen_Original!T113,Vergütungen_Original!U113)</f>
        <v>7.2400000000000006E-2</v>
      </c>
      <c r="R133" s="1628">
        <f>IF(A133=2,Vergütungen_Original!AA113,Vergütungen_Original!Z113)</f>
        <v>100</v>
      </c>
      <c r="S133" s="1629"/>
      <c r="T133" s="1629"/>
      <c r="U133" s="1630"/>
      <c r="V133" s="60"/>
      <c r="W133" s="62"/>
      <c r="X133" s="60"/>
      <c r="Y133" s="62"/>
      <c r="Z133" s="61"/>
      <c r="AA133" s="61"/>
      <c r="AB133" s="53"/>
      <c r="AC133" s="74">
        <v>0</v>
      </c>
      <c r="AD133" s="53"/>
      <c r="AE133" s="74">
        <v>0</v>
      </c>
      <c r="AF133" s="53"/>
      <c r="AG133" s="74">
        <v>0</v>
      </c>
      <c r="AH133" s="1105">
        <v>10000</v>
      </c>
      <c r="AI133" s="1103">
        <v>100</v>
      </c>
      <c r="AJ133" s="1103">
        <v>10</v>
      </c>
      <c r="AK133" s="1103">
        <v>10000</v>
      </c>
      <c r="AL133" s="54"/>
      <c r="AM133" s="54"/>
      <c r="AN133" s="54"/>
      <c r="AO133" s="10"/>
      <c r="AP133" s="10"/>
    </row>
    <row r="134" spans="1:42" s="6" customFormat="1" ht="15" customHeight="1" thickTop="1" thickBot="1">
      <c r="A134" s="881">
        <f>Kalkulation_Eigenstrom!$E$15</f>
        <v>1</v>
      </c>
      <c r="B134" s="8">
        <v>129</v>
      </c>
      <c r="C134" s="4">
        <v>4</v>
      </c>
      <c r="D134" s="5" t="s">
        <v>1021</v>
      </c>
      <c r="E134" s="17"/>
      <c r="F134" s="153">
        <v>0.19</v>
      </c>
      <c r="G134" s="27" t="s">
        <v>55</v>
      </c>
      <c r="H134" s="21">
        <v>10</v>
      </c>
      <c r="I134" s="886">
        <f>IF(A134=2,Vergütungen_Original!E114,Vergütungen_Original!F114)</f>
        <v>0.1033</v>
      </c>
      <c r="J134" s="36">
        <v>40</v>
      </c>
      <c r="K134" s="889">
        <f>IF(A134=2,Vergütungen_Original!H114,Vergütungen_Original!I114)</f>
        <v>0.1004</v>
      </c>
      <c r="L134" s="472">
        <v>1000</v>
      </c>
      <c r="M134" s="889">
        <f>IF(A134=2,Vergütungen_Original!K114,Vergütungen_Original!L114)</f>
        <v>7.8899999999999998E-2</v>
      </c>
      <c r="N134" s="473">
        <v>1000</v>
      </c>
      <c r="O134" s="889">
        <f>IF(A134=2,Vergütungen_Original!N114,Vergütungen_Original!O114)</f>
        <v>7.1300000000000002E-2</v>
      </c>
      <c r="P134" s="473"/>
      <c r="Q134" s="889">
        <f>IF(A134=2,Vergütungen_Original!T114,Vergütungen_Original!U114)</f>
        <v>7.1300000000000002E-2</v>
      </c>
      <c r="R134" s="1628">
        <f>IF(A134=2,Vergütungen_Original!AA114,Vergütungen_Original!Z114)</f>
        <v>100</v>
      </c>
      <c r="S134" s="1629"/>
      <c r="T134" s="1629"/>
      <c r="U134" s="1630"/>
      <c r="V134" s="60"/>
      <c r="W134" s="62"/>
      <c r="X134" s="60"/>
      <c r="Y134" s="62"/>
      <c r="Z134" s="61"/>
      <c r="AA134" s="61"/>
      <c r="AB134" s="53"/>
      <c r="AC134" s="74">
        <v>0</v>
      </c>
      <c r="AD134" s="53"/>
      <c r="AE134" s="74">
        <v>0</v>
      </c>
      <c r="AF134" s="53"/>
      <c r="AG134" s="74">
        <v>0</v>
      </c>
      <c r="AH134" s="1105">
        <v>10000</v>
      </c>
      <c r="AI134" s="1103">
        <v>100</v>
      </c>
      <c r="AJ134" s="1103">
        <v>10</v>
      </c>
      <c r="AK134" s="1103">
        <v>10000</v>
      </c>
      <c r="AL134" s="54"/>
      <c r="AM134" s="54"/>
      <c r="AN134" s="54"/>
      <c r="AO134" s="10"/>
      <c r="AP134" s="10"/>
    </row>
    <row r="135" spans="1:42" s="6" customFormat="1" ht="15" customHeight="1" thickTop="1" thickBot="1">
      <c r="A135" s="881">
        <f>Kalkulation_Eigenstrom!$E$15</f>
        <v>1</v>
      </c>
      <c r="B135" s="8">
        <v>130</v>
      </c>
      <c r="C135" s="4">
        <v>4</v>
      </c>
      <c r="D135" s="5" t="s">
        <v>1022</v>
      </c>
      <c r="E135" s="17"/>
      <c r="F135" s="153">
        <v>0.19</v>
      </c>
      <c r="G135" s="27" t="s">
        <v>55</v>
      </c>
      <c r="H135" s="21">
        <v>10</v>
      </c>
      <c r="I135" s="886">
        <f>IF(A135=2,Vergütungen_Original!E115,Vergütungen_Original!F115)</f>
        <v>0.1018</v>
      </c>
      <c r="J135" s="36">
        <v>40</v>
      </c>
      <c r="K135" s="889">
        <f>IF(A135=2,Vergütungen_Original!H115,Vergütungen_Original!I115)</f>
        <v>9.9000000000000005E-2</v>
      </c>
      <c r="L135" s="472">
        <v>1000</v>
      </c>
      <c r="M135" s="889">
        <f>IF(A135=2,Vergütungen_Original!K115,Vergütungen_Original!L115)</f>
        <v>7.7799999999999994E-2</v>
      </c>
      <c r="N135" s="473">
        <v>1000</v>
      </c>
      <c r="O135" s="889">
        <f>IF(A135=2,Vergütungen_Original!N115,Vergütungen_Original!O115)</f>
        <v>7.0199999999999999E-2</v>
      </c>
      <c r="P135" s="473"/>
      <c r="Q135" s="889">
        <f>IF(A135=2,Vergütungen_Original!T115,Vergütungen_Original!U115)</f>
        <v>7.0199999999999999E-2</v>
      </c>
      <c r="R135" s="1628">
        <f>IF(A135=2,Vergütungen_Original!AA115,Vergütungen_Original!Z115)</f>
        <v>100</v>
      </c>
      <c r="S135" s="1629"/>
      <c r="T135" s="1629"/>
      <c r="U135" s="1630"/>
      <c r="V135" s="60"/>
      <c r="W135" s="62"/>
      <c r="X135" s="60"/>
      <c r="Y135" s="62"/>
      <c r="Z135" s="61"/>
      <c r="AA135" s="61"/>
      <c r="AB135" s="53"/>
      <c r="AC135" s="74">
        <v>0</v>
      </c>
      <c r="AD135" s="53"/>
      <c r="AE135" s="74">
        <v>0</v>
      </c>
      <c r="AF135" s="53"/>
      <c r="AG135" s="74">
        <v>0</v>
      </c>
      <c r="AH135" s="1105">
        <v>10000</v>
      </c>
      <c r="AI135" s="1103">
        <v>100</v>
      </c>
      <c r="AJ135" s="1103">
        <v>10</v>
      </c>
      <c r="AK135" s="1103">
        <v>10000</v>
      </c>
      <c r="AL135" s="54"/>
      <c r="AM135" s="54"/>
      <c r="AN135" s="54"/>
      <c r="AO135" s="10"/>
      <c r="AP135" s="10"/>
    </row>
    <row r="136" spans="1:42" s="6" customFormat="1" ht="15" customHeight="1" thickTop="1" thickBot="1">
      <c r="A136" s="881">
        <f>Kalkulation_Eigenstrom!$E$15</f>
        <v>1</v>
      </c>
      <c r="B136" s="8">
        <v>131</v>
      </c>
      <c r="C136" s="4">
        <v>4</v>
      </c>
      <c r="D136" s="5" t="s">
        <v>1060</v>
      </c>
      <c r="E136" s="17"/>
      <c r="F136" s="153">
        <v>0.19</v>
      </c>
      <c r="G136" s="27" t="s">
        <v>55</v>
      </c>
      <c r="H136" s="21">
        <v>10</v>
      </c>
      <c r="I136" s="886">
        <f>IF(A136=2,Vergütungen_Original!E116,Vergütungen_Original!F116)</f>
        <v>0.1008</v>
      </c>
      <c r="J136" s="36">
        <v>40</v>
      </c>
      <c r="K136" s="889">
        <f>IF(A136=2,Vergütungen_Original!H116,Vergütungen_Original!I116)</f>
        <v>9.7900000000000001E-2</v>
      </c>
      <c r="L136" s="472">
        <v>1000</v>
      </c>
      <c r="M136" s="889">
        <f>IF(A136=2,Vergütungen_Original!K116,Vergütungen_Original!L116)</f>
        <v>7.6999999999999999E-2</v>
      </c>
      <c r="N136" s="473">
        <v>1000</v>
      </c>
      <c r="O136" s="889">
        <f>IF(A136=2,Vergütungen_Original!N116,Vergütungen_Original!O116)</f>
        <v>6.9500000000000006E-2</v>
      </c>
      <c r="P136" s="473"/>
      <c r="Q136" s="889">
        <f>IF(A136=2,Vergütungen_Original!T116,Vergütungen_Original!U116)</f>
        <v>6.9500000000000006E-2</v>
      </c>
      <c r="R136" s="1628">
        <f>IF(A136=2,Vergütungen_Original!AA116,Vergütungen_Original!Z116)</f>
        <v>100</v>
      </c>
      <c r="S136" s="1629"/>
      <c r="T136" s="1629"/>
      <c r="U136" s="1630"/>
      <c r="V136" s="60"/>
      <c r="W136" s="62"/>
      <c r="X136" s="60"/>
      <c r="Y136" s="62"/>
      <c r="Z136" s="61"/>
      <c r="AA136" s="61"/>
      <c r="AB136" s="53"/>
      <c r="AC136" s="74">
        <v>0</v>
      </c>
      <c r="AD136" s="53"/>
      <c r="AE136" s="74">
        <v>0</v>
      </c>
      <c r="AF136" s="53"/>
      <c r="AG136" s="74">
        <v>0</v>
      </c>
      <c r="AH136" s="1105">
        <v>10000</v>
      </c>
      <c r="AI136" s="1103">
        <v>100</v>
      </c>
      <c r="AJ136" s="1103">
        <v>10</v>
      </c>
      <c r="AK136" s="1103">
        <v>10000</v>
      </c>
      <c r="AL136" s="54"/>
      <c r="AM136" s="54"/>
      <c r="AN136" s="54"/>
      <c r="AO136" s="10"/>
      <c r="AP136" s="10"/>
    </row>
    <row r="137" spans="1:42" s="6" customFormat="1" ht="15" customHeight="1" thickTop="1" thickBot="1">
      <c r="A137" s="881">
        <f>Kalkulation_Eigenstrom!$E$15</f>
        <v>1</v>
      </c>
      <c r="B137" s="8">
        <v>132</v>
      </c>
      <c r="C137" s="4">
        <v>4</v>
      </c>
      <c r="D137" s="5" t="s">
        <v>1023</v>
      </c>
      <c r="E137" s="17"/>
      <c r="F137" s="153">
        <v>0.19</v>
      </c>
      <c r="G137" s="27" t="s">
        <v>55</v>
      </c>
      <c r="H137" s="21">
        <v>10</v>
      </c>
      <c r="I137" s="886">
        <f>IF(A137=2,Vergütungen_Original!E117,Vergütungen_Original!F117)</f>
        <v>9.9699999999999997E-2</v>
      </c>
      <c r="J137" s="36">
        <v>40</v>
      </c>
      <c r="K137" s="889">
        <f>IF(A137=2,Vergütungen_Original!H117,Vergütungen_Original!I117)</f>
        <v>9.69E-2</v>
      </c>
      <c r="L137" s="472">
        <v>1000</v>
      </c>
      <c r="M137" s="889">
        <f>IF(A137=2,Vergütungen_Original!K117,Vergütungen_Original!L117)</f>
        <v>7.6200000000000004E-2</v>
      </c>
      <c r="N137" s="473">
        <v>1000</v>
      </c>
      <c r="O137" s="889">
        <f>IF(A137=2,Vergütungen_Original!N117,Vergütungen_Original!O117)</f>
        <v>6.88E-2</v>
      </c>
      <c r="P137" s="473"/>
      <c r="Q137" s="889">
        <f>IF(A137=2,Vergütungen_Original!T117,Vergütungen_Original!U117)</f>
        <v>6.88E-2</v>
      </c>
      <c r="R137" s="1628">
        <f>IF(A137=2,Vergütungen_Original!AA117,Vergütungen_Original!Z117)</f>
        <v>100</v>
      </c>
      <c r="S137" s="1629"/>
      <c r="T137" s="1629"/>
      <c r="U137" s="1630"/>
      <c r="V137" s="60"/>
      <c r="W137" s="62"/>
      <c r="X137" s="60"/>
      <c r="Y137" s="62"/>
      <c r="Z137" s="61"/>
      <c r="AA137" s="61"/>
      <c r="AB137" s="53"/>
      <c r="AC137" s="74">
        <v>0</v>
      </c>
      <c r="AD137" s="53"/>
      <c r="AE137" s="74">
        <v>0</v>
      </c>
      <c r="AF137" s="53"/>
      <c r="AG137" s="74">
        <v>0</v>
      </c>
      <c r="AH137" s="1105">
        <v>10000</v>
      </c>
      <c r="AI137" s="1103">
        <v>100</v>
      </c>
      <c r="AJ137" s="1103">
        <v>10</v>
      </c>
      <c r="AK137" s="1103">
        <v>10000</v>
      </c>
      <c r="AL137" s="54"/>
      <c r="AM137" s="54"/>
      <c r="AN137" s="54"/>
      <c r="AO137" s="10"/>
      <c r="AP137" s="10"/>
    </row>
    <row r="138" spans="1:42" s="6" customFormat="1" ht="15" customHeight="1" thickTop="1" thickBot="1">
      <c r="A138" s="881">
        <f>Kalkulation_Eigenstrom!$E$15</f>
        <v>1</v>
      </c>
      <c r="B138" s="8">
        <v>133</v>
      </c>
      <c r="C138" s="4">
        <v>4</v>
      </c>
      <c r="D138" s="5" t="s">
        <v>1024</v>
      </c>
      <c r="E138" s="17"/>
      <c r="F138" s="153">
        <v>0.19</v>
      </c>
      <c r="G138" s="27" t="s">
        <v>55</v>
      </c>
      <c r="H138" s="21">
        <v>10</v>
      </c>
      <c r="I138" s="886">
        <f>IF(A138=2,Vergütungen_Original!E118,Vergütungen_Original!F118)</f>
        <v>9.8699999999999996E-2</v>
      </c>
      <c r="J138" s="36">
        <v>40</v>
      </c>
      <c r="K138" s="889">
        <f>IF(A138=2,Vergütungen_Original!H118,Vergütungen_Original!I118)</f>
        <v>9.5899999999999999E-2</v>
      </c>
      <c r="L138" s="472">
        <v>1000</v>
      </c>
      <c r="M138" s="889">
        <f>IF(A138=2,Vergütungen_Original!K118,Vergütungen_Original!L118)</f>
        <v>7.5399999999999995E-2</v>
      </c>
      <c r="N138" s="473">
        <v>1000</v>
      </c>
      <c r="O138" s="889">
        <f>IF(A138=2,Vergütungen_Original!N118,Vergütungen_Original!O118)</f>
        <v>6.8000000000000005E-2</v>
      </c>
      <c r="P138" s="473"/>
      <c r="Q138" s="889">
        <f>IF(A138=2,Vergütungen_Original!T118,Vergütungen_Original!U118)</f>
        <v>6.8000000000000005E-2</v>
      </c>
      <c r="R138" s="1628">
        <f>IF(A138=2,Vergütungen_Original!AA118,Vergütungen_Original!Z118)</f>
        <v>100</v>
      </c>
      <c r="S138" s="1629"/>
      <c r="T138" s="1629"/>
      <c r="U138" s="1630"/>
      <c r="V138" s="60"/>
      <c r="W138" s="62"/>
      <c r="X138" s="60"/>
      <c r="Y138" s="62"/>
      <c r="Z138" s="61"/>
      <c r="AA138" s="61"/>
      <c r="AB138" s="53"/>
      <c r="AC138" s="74">
        <v>0</v>
      </c>
      <c r="AD138" s="53"/>
      <c r="AE138" s="74">
        <v>0</v>
      </c>
      <c r="AF138" s="53"/>
      <c r="AG138" s="74">
        <v>0</v>
      </c>
      <c r="AH138" s="1105">
        <v>10000</v>
      </c>
      <c r="AI138" s="1103">
        <v>100</v>
      </c>
      <c r="AJ138" s="1103">
        <v>10</v>
      </c>
      <c r="AK138" s="1103">
        <v>10000</v>
      </c>
      <c r="AL138" s="54"/>
      <c r="AM138" s="54"/>
      <c r="AN138" s="54"/>
      <c r="AO138" s="10"/>
      <c r="AP138" s="10"/>
    </row>
    <row r="139" spans="1:42" s="6" customFormat="1" ht="15" customHeight="1" thickTop="1" thickBot="1">
      <c r="A139" s="881">
        <f>Kalkulation_Eigenstrom!$E$15</f>
        <v>1</v>
      </c>
      <c r="B139" s="8">
        <v>134</v>
      </c>
      <c r="C139" s="4">
        <v>4</v>
      </c>
      <c r="D139" s="5" t="s">
        <v>1064</v>
      </c>
      <c r="E139" s="17"/>
      <c r="F139" s="153">
        <v>0.19</v>
      </c>
      <c r="G139" s="27" t="s">
        <v>55</v>
      </c>
      <c r="H139" s="21">
        <v>10</v>
      </c>
      <c r="I139" s="886">
        <f>IF(A139=2,Vergütungen_Original!E119,Vergütungen_Original!F119)</f>
        <v>9.7199999999999995E-2</v>
      </c>
      <c r="J139" s="36">
        <v>40</v>
      </c>
      <c r="K139" s="889">
        <f>IF(A139=2,Vergütungen_Original!H119,Vergütungen_Original!I119)</f>
        <v>9.4500000000000001E-2</v>
      </c>
      <c r="L139" s="472">
        <v>1000</v>
      </c>
      <c r="M139" s="889">
        <f>IF(A139=2,Vergütungen_Original!K119,Vergütungen_Original!L119)</f>
        <v>7.4200000000000002E-2</v>
      </c>
      <c r="N139" s="473">
        <v>1000</v>
      </c>
      <c r="O139" s="889">
        <f>IF(A139=2,Vergütungen_Original!N119,Vergütungen_Original!O119)</f>
        <v>6.7000000000000004E-2</v>
      </c>
      <c r="P139" s="473"/>
      <c r="Q139" s="889">
        <f>IF(A139=2,Vergütungen_Original!T119,Vergütungen_Original!U119)</f>
        <v>6.7000000000000004E-2</v>
      </c>
      <c r="R139" s="1628">
        <f>IF(A139=2,Vergütungen_Original!AA119,Vergütungen_Original!Z119)</f>
        <v>100</v>
      </c>
      <c r="S139" s="1629"/>
      <c r="T139" s="1629"/>
      <c r="U139" s="1630"/>
      <c r="V139" s="60"/>
      <c r="W139" s="62"/>
      <c r="X139" s="60"/>
      <c r="Y139" s="62"/>
      <c r="Z139" s="61"/>
      <c r="AA139" s="61"/>
      <c r="AB139" s="53"/>
      <c r="AC139" s="74">
        <v>0</v>
      </c>
      <c r="AD139" s="53"/>
      <c r="AE139" s="74">
        <v>0</v>
      </c>
      <c r="AF139" s="53"/>
      <c r="AG139" s="74">
        <v>0</v>
      </c>
      <c r="AH139" s="1105">
        <v>10000</v>
      </c>
      <c r="AI139" s="1103">
        <v>100</v>
      </c>
      <c r="AJ139" s="1103">
        <v>10</v>
      </c>
      <c r="AK139" s="1103">
        <v>10000</v>
      </c>
      <c r="AL139" s="54"/>
      <c r="AM139" s="54"/>
      <c r="AN139" s="54"/>
      <c r="AO139" s="10"/>
      <c r="AP139" s="10"/>
    </row>
    <row r="140" spans="1:42" s="6" customFormat="1" ht="15" customHeight="1" thickTop="1" thickBot="1">
      <c r="A140" s="881">
        <f>Kalkulation_Eigenstrom!$E$15</f>
        <v>1</v>
      </c>
      <c r="B140" s="8">
        <v>135</v>
      </c>
      <c r="C140" s="4">
        <v>4</v>
      </c>
      <c r="D140" s="5" t="s">
        <v>1025</v>
      </c>
      <c r="E140" s="17"/>
      <c r="F140" s="153">
        <v>0.19</v>
      </c>
      <c r="G140" s="27" t="s">
        <v>55</v>
      </c>
      <c r="H140" s="21">
        <v>10</v>
      </c>
      <c r="I140" s="886">
        <f>IF(A140=2,Vergütungen_Original!E120,Vergütungen_Original!F120)</f>
        <v>9.5799999999999996E-2</v>
      </c>
      <c r="J140" s="36">
        <v>40</v>
      </c>
      <c r="K140" s="889">
        <f>IF(A140=2,Vergütungen_Original!H120,Vergütungen_Original!I120)</f>
        <v>9.3100000000000002E-2</v>
      </c>
      <c r="L140" s="472">
        <v>1000</v>
      </c>
      <c r="M140" s="889">
        <f>IF(A140=2,Vergütungen_Original!K120,Vergütungen_Original!L120)</f>
        <v>7.3099999999999998E-2</v>
      </c>
      <c r="N140" s="473">
        <v>1000</v>
      </c>
      <c r="O140" s="889">
        <f>IF(A140=2,Vergütungen_Original!N120,Vergütungen_Original!O120)</f>
        <v>6.6000000000000003E-2</v>
      </c>
      <c r="P140" s="473"/>
      <c r="Q140" s="889">
        <f>IF(A140=2,Vergütungen_Original!T120,Vergütungen_Original!U120)</f>
        <v>6.6000000000000003E-2</v>
      </c>
      <c r="R140" s="1628">
        <f>IF(A140=2,Vergütungen_Original!AA120,Vergütungen_Original!Z120)</f>
        <v>100</v>
      </c>
      <c r="S140" s="1629"/>
      <c r="T140" s="1629"/>
      <c r="U140" s="1630"/>
      <c r="V140" s="60"/>
      <c r="W140" s="62"/>
      <c r="X140" s="60"/>
      <c r="Y140" s="62"/>
      <c r="Z140" s="61"/>
      <c r="AA140" s="61"/>
      <c r="AB140" s="53"/>
      <c r="AC140" s="74">
        <v>0</v>
      </c>
      <c r="AD140" s="53"/>
      <c r="AE140" s="74">
        <v>0</v>
      </c>
      <c r="AF140" s="53"/>
      <c r="AG140" s="74">
        <v>0</v>
      </c>
      <c r="AH140" s="1105">
        <v>10000</v>
      </c>
      <c r="AI140" s="1103">
        <v>100</v>
      </c>
      <c r="AJ140" s="1103">
        <v>10</v>
      </c>
      <c r="AK140" s="1103">
        <v>10000</v>
      </c>
      <c r="AL140" s="54"/>
      <c r="AM140" s="54"/>
      <c r="AN140" s="54"/>
      <c r="AO140" s="10"/>
      <c r="AP140" s="10"/>
    </row>
    <row r="141" spans="1:42" s="6" customFormat="1" ht="15" customHeight="1" thickTop="1" thickBot="1">
      <c r="A141" s="881">
        <f>Kalkulation_Eigenstrom!$E$15</f>
        <v>1</v>
      </c>
      <c r="B141" s="8">
        <v>136</v>
      </c>
      <c r="C141" s="4">
        <v>4</v>
      </c>
      <c r="D141" s="5" t="s">
        <v>1026</v>
      </c>
      <c r="E141" s="17"/>
      <c r="F141" s="153">
        <v>0.19</v>
      </c>
      <c r="G141" s="27" t="s">
        <v>55</v>
      </c>
      <c r="H141" s="21">
        <v>10</v>
      </c>
      <c r="I141" s="886">
        <f>IF(A141=2,Vergütungen_Original!E121,Vergütungen_Original!F121)</f>
        <v>9.4399999999999998E-2</v>
      </c>
      <c r="J141" s="36">
        <v>40</v>
      </c>
      <c r="K141" s="889">
        <f>IF(A141=2,Vergütungen_Original!H121,Vergütungen_Original!I121)</f>
        <v>9.1800000000000007E-2</v>
      </c>
      <c r="L141" s="472">
        <v>1000</v>
      </c>
      <c r="M141" s="889">
        <f>IF(A141=2,Vergütungen_Original!K121,Vergütungen_Original!L121)</f>
        <v>7.2099999999999997E-2</v>
      </c>
      <c r="N141" s="473">
        <v>1000</v>
      </c>
      <c r="O141" s="889">
        <f>IF(A141=2,Vergütungen_Original!N121,Vergütungen_Original!O121)</f>
        <v>6.5000000000000002E-2</v>
      </c>
      <c r="P141" s="473"/>
      <c r="Q141" s="889">
        <f>IF(A141=2,Vergütungen_Original!T121,Vergütungen_Original!U121)</f>
        <v>6.5000000000000002E-2</v>
      </c>
      <c r="R141" s="1628">
        <f>IF(A141=2,Vergütungen_Original!AA121,Vergütungen_Original!Z121)</f>
        <v>100</v>
      </c>
      <c r="S141" s="1629"/>
      <c r="T141" s="1629"/>
      <c r="U141" s="1630"/>
      <c r="V141" s="60"/>
      <c r="W141" s="62"/>
      <c r="X141" s="60"/>
      <c r="Y141" s="62"/>
      <c r="Z141" s="61"/>
      <c r="AA141" s="61"/>
      <c r="AB141" s="53"/>
      <c r="AC141" s="74">
        <v>0</v>
      </c>
      <c r="AD141" s="53"/>
      <c r="AE141" s="74">
        <v>0</v>
      </c>
      <c r="AF141" s="53"/>
      <c r="AG141" s="74">
        <v>0</v>
      </c>
      <c r="AH141" s="1105">
        <v>10000</v>
      </c>
      <c r="AI141" s="1103">
        <v>100</v>
      </c>
      <c r="AJ141" s="1103">
        <v>10</v>
      </c>
      <c r="AK141" s="1103">
        <v>10000</v>
      </c>
      <c r="AL141" s="54"/>
      <c r="AM141" s="54"/>
      <c r="AN141" s="54"/>
      <c r="AO141" s="10"/>
      <c r="AP141" s="10"/>
    </row>
    <row r="142" spans="1:42" s="6" customFormat="1" ht="15" customHeight="1" thickTop="1" thickBot="1">
      <c r="A142" s="881">
        <f>Kalkulation_Eigenstrom!$E$15</f>
        <v>1</v>
      </c>
      <c r="B142" s="8">
        <v>137</v>
      </c>
      <c r="C142" s="4">
        <v>4</v>
      </c>
      <c r="D142" s="5" t="s">
        <v>1065</v>
      </c>
      <c r="E142" s="17"/>
      <c r="F142" s="153">
        <v>0.19</v>
      </c>
      <c r="G142" s="27" t="s">
        <v>55</v>
      </c>
      <c r="H142" s="21">
        <v>10</v>
      </c>
      <c r="I142" s="886">
        <f>IF(A142=2,Vergütungen_Original!E122,Vergütungen_Original!F122)</f>
        <v>9.2999999999999999E-2</v>
      </c>
      <c r="J142" s="36">
        <v>40</v>
      </c>
      <c r="K142" s="889">
        <f>IF(A142=2,Vergütungen_Original!H122,Vergütungen_Original!I122)</f>
        <v>9.0399999999999994E-2</v>
      </c>
      <c r="L142" s="472">
        <v>1000</v>
      </c>
      <c r="M142" s="889">
        <f>IF(A142=2,Vergütungen_Original!K122,Vergütungen_Original!L122)</f>
        <v>7.0999999999999994E-2</v>
      </c>
      <c r="N142" s="473">
        <v>1000</v>
      </c>
      <c r="O142" s="889">
        <f>IF(A142=2,Vergütungen_Original!N122,Vergütungen_Original!O122)</f>
        <v>6.4100000000000004E-2</v>
      </c>
      <c r="P142" s="473"/>
      <c r="Q142" s="889">
        <f>IF(A142=2,Vergütungen_Original!T122,Vergütungen_Original!U122)</f>
        <v>6.4100000000000004E-2</v>
      </c>
      <c r="R142" s="1628">
        <f>IF(A142=2,Vergütungen_Original!AA122,Vergütungen_Original!Z122)</f>
        <v>100</v>
      </c>
      <c r="S142" s="1629"/>
      <c r="T142" s="1629"/>
      <c r="U142" s="1630"/>
      <c r="V142" s="60"/>
      <c r="W142" s="62"/>
      <c r="X142" s="60"/>
      <c r="Y142" s="62"/>
      <c r="Z142" s="61"/>
      <c r="AA142" s="61"/>
      <c r="AB142" s="53"/>
      <c r="AC142" s="74">
        <v>0</v>
      </c>
      <c r="AD142" s="53"/>
      <c r="AE142" s="74">
        <v>0</v>
      </c>
      <c r="AF142" s="53"/>
      <c r="AG142" s="74">
        <v>0</v>
      </c>
      <c r="AH142" s="1105">
        <v>10000</v>
      </c>
      <c r="AI142" s="1103">
        <v>100</v>
      </c>
      <c r="AJ142" s="1103">
        <v>10</v>
      </c>
      <c r="AK142" s="1103">
        <v>10000</v>
      </c>
      <c r="AL142" s="54"/>
      <c r="AM142" s="54"/>
      <c r="AN142" s="54"/>
      <c r="AO142" s="10"/>
      <c r="AP142" s="10"/>
    </row>
    <row r="143" spans="1:42" s="6" customFormat="1" ht="15" customHeight="1" thickTop="1" thickBot="1">
      <c r="A143" s="881">
        <f>Kalkulation_Eigenstrom!$E$15</f>
        <v>1</v>
      </c>
      <c r="B143" s="8">
        <v>138</v>
      </c>
      <c r="C143" s="4">
        <v>4</v>
      </c>
      <c r="D143" s="5" t="s">
        <v>1027</v>
      </c>
      <c r="E143" s="17"/>
      <c r="F143" s="153">
        <v>0.19</v>
      </c>
      <c r="G143" s="27" t="s">
        <v>55</v>
      </c>
      <c r="H143" s="21">
        <v>10</v>
      </c>
      <c r="I143" s="886">
        <f>IF(A143=2,Vergütungen_Original!E123,Vergütungen_Original!F123)</f>
        <v>9.1700000000000004E-2</v>
      </c>
      <c r="J143" s="36">
        <v>40</v>
      </c>
      <c r="K143" s="889">
        <f>IF(A143=2,Vergütungen_Original!H123,Vergütungen_Original!I123)</f>
        <v>8.9099999999999999E-2</v>
      </c>
      <c r="L143" s="472">
        <v>1000</v>
      </c>
      <c r="M143" s="889">
        <f>IF(A143=2,Vergütungen_Original!K123,Vergütungen_Original!L123)</f>
        <v>7.0000000000000007E-2</v>
      </c>
      <c r="N143" s="473">
        <v>1000</v>
      </c>
      <c r="O143" s="889">
        <f>IF(A143=2,Vergütungen_Original!N123,Vergütungen_Original!O123)</f>
        <v>6.3100000000000003E-2</v>
      </c>
      <c r="P143" s="473"/>
      <c r="Q143" s="889">
        <f>IF(A143=2,Vergütungen_Original!T123,Vergütungen_Original!U123)</f>
        <v>6.3100000000000003E-2</v>
      </c>
      <c r="R143" s="1628">
        <f>IF(A143=2,Vergütungen_Original!AA123,Vergütungen_Original!Z123)</f>
        <v>100</v>
      </c>
      <c r="S143" s="1629"/>
      <c r="T143" s="1629"/>
      <c r="U143" s="1630"/>
      <c r="V143" s="60"/>
      <c r="W143" s="62"/>
      <c r="X143" s="60"/>
      <c r="Y143" s="62"/>
      <c r="Z143" s="61"/>
      <c r="AA143" s="61"/>
      <c r="AB143" s="53"/>
      <c r="AC143" s="74">
        <v>0</v>
      </c>
      <c r="AD143" s="53"/>
      <c r="AE143" s="74">
        <v>0</v>
      </c>
      <c r="AF143" s="53"/>
      <c r="AG143" s="74">
        <v>0</v>
      </c>
      <c r="AH143" s="1105">
        <v>10000</v>
      </c>
      <c r="AI143" s="1103">
        <v>100</v>
      </c>
      <c r="AJ143" s="1103">
        <v>10</v>
      </c>
      <c r="AK143" s="1103">
        <v>10000</v>
      </c>
      <c r="AL143" s="54"/>
      <c r="AM143" s="54"/>
      <c r="AN143" s="54"/>
      <c r="AO143" s="10"/>
      <c r="AP143" s="10"/>
    </row>
    <row r="144" spans="1:42" s="6" customFormat="1" ht="15" customHeight="1" thickTop="1" thickBot="1">
      <c r="A144" s="881">
        <f>Kalkulation_Eigenstrom!$E$15</f>
        <v>1</v>
      </c>
      <c r="B144" s="8">
        <v>139</v>
      </c>
      <c r="C144" s="4">
        <v>4</v>
      </c>
      <c r="D144" s="5" t="s">
        <v>1028</v>
      </c>
      <c r="E144" s="17"/>
      <c r="F144" s="153">
        <v>0.19</v>
      </c>
      <c r="G144" s="27" t="s">
        <v>55</v>
      </c>
      <c r="H144" s="21">
        <v>10</v>
      </c>
      <c r="I144" s="886">
        <f>IF(A144=2,Vergütungen_Original!E124,Vergütungen_Original!F124)</f>
        <v>9.0300000000000005E-2</v>
      </c>
      <c r="J144" s="36">
        <v>40</v>
      </c>
      <c r="K144" s="889">
        <f>IF(A144=2,Vergütungen_Original!H124,Vergütungen_Original!I124)</f>
        <v>8.7800000000000003E-2</v>
      </c>
      <c r="L144" s="472">
        <v>1000</v>
      </c>
      <c r="M144" s="889">
        <f>IF(A144=2,Vergütungen_Original!K124,Vergütungen_Original!L124)</f>
        <v>6.8900000000000003E-2</v>
      </c>
      <c r="N144" s="473">
        <v>1000</v>
      </c>
      <c r="O144" s="889">
        <f>IF(A144=2,Vergütungen_Original!N124,Vergütungen_Original!O124)</f>
        <v>6.2199999999999998E-2</v>
      </c>
      <c r="P144" s="473"/>
      <c r="Q144" s="889">
        <f>IF(A144=2,Vergütungen_Original!T124,Vergütungen_Original!U124)</f>
        <v>6.2199999999999998E-2</v>
      </c>
      <c r="R144" s="1628">
        <f>IF(A144=2,Vergütungen_Original!AA124,Vergütungen_Original!Z124)</f>
        <v>100</v>
      </c>
      <c r="S144" s="1629"/>
      <c r="T144" s="1629"/>
      <c r="U144" s="1630"/>
      <c r="V144" s="60"/>
      <c r="W144" s="62"/>
      <c r="X144" s="60"/>
      <c r="Y144" s="62"/>
      <c r="Z144" s="61"/>
      <c r="AA144" s="61"/>
      <c r="AB144" s="53"/>
      <c r="AC144" s="74">
        <v>0</v>
      </c>
      <c r="AD144" s="53"/>
      <c r="AE144" s="74">
        <v>0</v>
      </c>
      <c r="AF144" s="53"/>
      <c r="AG144" s="74">
        <v>0</v>
      </c>
      <c r="AH144" s="1105">
        <v>10000</v>
      </c>
      <c r="AI144" s="1103">
        <v>100</v>
      </c>
      <c r="AJ144" s="1103">
        <v>10</v>
      </c>
      <c r="AK144" s="1103">
        <v>10000</v>
      </c>
      <c r="AL144" s="54"/>
      <c r="AM144" s="54"/>
      <c r="AN144" s="54"/>
      <c r="AO144" s="10"/>
      <c r="AP144" s="10"/>
    </row>
    <row r="145" spans="1:42" s="6" customFormat="1" ht="15" customHeight="1" thickTop="1" thickBot="1">
      <c r="A145" s="881">
        <f>Kalkulation_Eigenstrom!$E$15</f>
        <v>1</v>
      </c>
      <c r="B145" s="8">
        <v>140</v>
      </c>
      <c r="C145" s="4">
        <v>4</v>
      </c>
      <c r="D145" s="5" t="s">
        <v>1072</v>
      </c>
      <c r="E145" s="17"/>
      <c r="F145" s="153">
        <v>0.19</v>
      </c>
      <c r="G145" s="27" t="s">
        <v>55</v>
      </c>
      <c r="H145" s="21">
        <v>10</v>
      </c>
      <c r="I145" s="886">
        <f>IF(A145=2,Vergütungen_Original!E125,Vergütungen_Original!F125)</f>
        <v>8.8999999999999996E-2</v>
      </c>
      <c r="J145" s="36">
        <v>40</v>
      </c>
      <c r="K145" s="889">
        <f>IF(A145=2,Vergütungen_Original!H125,Vergütungen_Original!I125)</f>
        <v>8.6499999999999994E-2</v>
      </c>
      <c r="L145" s="472">
        <v>1000</v>
      </c>
      <c r="M145" s="889">
        <f>IF(A145=2,Vergütungen_Original!K125,Vergütungen_Original!L125)</f>
        <v>6.7900000000000002E-2</v>
      </c>
      <c r="N145" s="473">
        <v>1000</v>
      </c>
      <c r="O145" s="889">
        <f>IF(A145=2,Vergütungen_Original!N125,Vergütungen_Original!O125)</f>
        <v>6.13E-2</v>
      </c>
      <c r="P145" s="473"/>
      <c r="Q145" s="889">
        <f>IF(A145=2,Vergütungen_Original!T125,Vergütungen_Original!U125)</f>
        <v>6.13E-2</v>
      </c>
      <c r="R145" s="1628">
        <f>IF(A145=2,Vergütungen_Original!AA125,Vergütungen_Original!Z125)</f>
        <v>100</v>
      </c>
      <c r="S145" s="1629"/>
      <c r="T145" s="1629"/>
      <c r="U145" s="1630"/>
      <c r="V145" s="60"/>
      <c r="W145" s="62"/>
      <c r="X145" s="60"/>
      <c r="Y145" s="62"/>
      <c r="Z145" s="61"/>
      <c r="AA145" s="61"/>
      <c r="AB145" s="53"/>
      <c r="AC145" s="74">
        <v>0</v>
      </c>
      <c r="AD145" s="53"/>
      <c r="AE145" s="74">
        <v>0</v>
      </c>
      <c r="AF145" s="53"/>
      <c r="AG145" s="74">
        <v>0</v>
      </c>
      <c r="AH145" s="1105">
        <v>10000</v>
      </c>
      <c r="AI145" s="1103">
        <v>100</v>
      </c>
      <c r="AJ145" s="1103">
        <v>10</v>
      </c>
      <c r="AK145" s="1103">
        <v>10000</v>
      </c>
      <c r="AL145" s="54"/>
      <c r="AM145" s="54"/>
      <c r="AN145" s="54"/>
      <c r="AO145" s="10"/>
      <c r="AP145" s="10"/>
    </row>
    <row r="146" spans="1:42" s="6" customFormat="1" ht="15" customHeight="1" thickTop="1" thickBot="1">
      <c r="A146" s="881">
        <f>Kalkulation_Eigenstrom!$E$15</f>
        <v>1</v>
      </c>
      <c r="B146" s="8">
        <v>141</v>
      </c>
      <c r="C146" s="4">
        <v>4</v>
      </c>
      <c r="D146" s="5" t="s">
        <v>1029</v>
      </c>
      <c r="E146" s="17"/>
      <c r="F146" s="153">
        <v>0.19</v>
      </c>
      <c r="G146" s="27" t="s">
        <v>55</v>
      </c>
      <c r="H146" s="21">
        <v>10</v>
      </c>
      <c r="I146" s="886">
        <f>IF(A146=2,Vergütungen_Original!E126,Vergütungen_Original!F126)</f>
        <v>8.77E-2</v>
      </c>
      <c r="J146" s="36">
        <v>40</v>
      </c>
      <c r="K146" s="889">
        <f>IF(A146=2,Vergütungen_Original!H126,Vergütungen_Original!I126)</f>
        <v>8.5300000000000001E-2</v>
      </c>
      <c r="L146" s="472">
        <v>1000</v>
      </c>
      <c r="M146" s="889">
        <f>IF(A146=2,Vergütungen_Original!K126,Vergütungen_Original!L126)</f>
        <v>6.6900000000000001E-2</v>
      </c>
      <c r="N146" s="473">
        <v>1000</v>
      </c>
      <c r="O146" s="889">
        <f>IF(A146=2,Vergütungen_Original!N126,Vergütungen_Original!O126)</f>
        <v>6.0299999999999999E-2</v>
      </c>
      <c r="P146" s="473"/>
      <c r="Q146" s="889">
        <f>IF(A146=2,Vergütungen_Original!T126,Vergütungen_Original!U126)</f>
        <v>6.0299999999999999E-2</v>
      </c>
      <c r="R146" s="1628">
        <f>IF(A146=2,Vergütungen_Original!AA126,Vergütungen_Original!Z126)</f>
        <v>100</v>
      </c>
      <c r="S146" s="1629"/>
      <c r="T146" s="1629"/>
      <c r="U146" s="1630"/>
      <c r="V146" s="60"/>
      <c r="W146" s="62"/>
      <c r="X146" s="60"/>
      <c r="Y146" s="62"/>
      <c r="Z146" s="61"/>
      <c r="AA146" s="61"/>
      <c r="AB146" s="53"/>
      <c r="AC146" s="74">
        <v>0</v>
      </c>
      <c r="AD146" s="53"/>
      <c r="AE146" s="74">
        <v>0</v>
      </c>
      <c r="AF146" s="53"/>
      <c r="AG146" s="74">
        <v>0</v>
      </c>
      <c r="AH146" s="1105">
        <v>10000</v>
      </c>
      <c r="AI146" s="1103">
        <v>100</v>
      </c>
      <c r="AJ146" s="1103">
        <v>10</v>
      </c>
      <c r="AK146" s="1103">
        <v>10000</v>
      </c>
      <c r="AL146" s="54"/>
      <c r="AM146" s="54"/>
      <c r="AN146" s="54"/>
      <c r="AO146" s="10"/>
      <c r="AP146" s="10"/>
    </row>
    <row r="147" spans="1:42" s="6" customFormat="1" ht="15" customHeight="1" thickTop="1" thickBot="1">
      <c r="A147" s="881">
        <f>Kalkulation_Eigenstrom!$E$15</f>
        <v>1</v>
      </c>
      <c r="B147" s="8">
        <v>142</v>
      </c>
      <c r="C147" s="4">
        <v>4</v>
      </c>
      <c r="D147" s="5" t="s">
        <v>1030</v>
      </c>
      <c r="E147" s="17"/>
      <c r="F147" s="153">
        <v>0.19</v>
      </c>
      <c r="G147" s="27" t="s">
        <v>55</v>
      </c>
      <c r="H147" s="21">
        <v>10</v>
      </c>
      <c r="I147" s="886">
        <f>IF(A147=2,Vergütungen_Original!E127,Vergütungen_Original!F127)</f>
        <v>8.6400000000000005E-2</v>
      </c>
      <c r="J147" s="36">
        <v>40</v>
      </c>
      <c r="K147" s="889">
        <f>IF(A147=2,Vergütungen_Original!H127,Vergütungen_Original!I127)</f>
        <v>8.4000000000000005E-2</v>
      </c>
      <c r="L147" s="472">
        <v>1000</v>
      </c>
      <c r="M147" s="889">
        <f>IF(A147=2,Vergütungen_Original!K127,Vergütungen_Original!L127)</f>
        <v>6.59E-2</v>
      </c>
      <c r="N147" s="473">
        <v>1000</v>
      </c>
      <c r="O147" s="889">
        <f>IF(A147=2,Vergütungen_Original!N127,Vergütungen_Original!O127)</f>
        <v>5.9400000000000001E-2</v>
      </c>
      <c r="P147" s="473"/>
      <c r="Q147" s="889">
        <f>IF(A147=2,Vergütungen_Original!T127,Vergütungen_Original!U127)</f>
        <v>5.9400000000000001E-2</v>
      </c>
      <c r="R147" s="1628">
        <f>IF(A147=2,Vergütungen_Original!AA127,Vergütungen_Original!Z127)</f>
        <v>100</v>
      </c>
      <c r="S147" s="1629"/>
      <c r="T147" s="1629"/>
      <c r="U147" s="1630"/>
      <c r="V147" s="60"/>
      <c r="W147" s="62"/>
      <c r="X147" s="60"/>
      <c r="Y147" s="62"/>
      <c r="Z147" s="61"/>
      <c r="AA147" s="61"/>
      <c r="AB147" s="53"/>
      <c r="AC147" s="74">
        <v>0</v>
      </c>
      <c r="AD147" s="53"/>
      <c r="AE147" s="74">
        <v>0</v>
      </c>
      <c r="AF147" s="53"/>
      <c r="AG147" s="74">
        <v>0</v>
      </c>
      <c r="AH147" s="1105">
        <v>10000</v>
      </c>
      <c r="AI147" s="1103">
        <v>100</v>
      </c>
      <c r="AJ147" s="1103">
        <v>10</v>
      </c>
      <c r="AK147" s="1103">
        <v>10000</v>
      </c>
      <c r="AL147" s="54"/>
      <c r="AM147" s="54"/>
      <c r="AN147" s="54"/>
      <c r="AO147" s="10"/>
      <c r="AP147" s="10"/>
    </row>
    <row r="148" spans="1:42" s="6" customFormat="1" ht="15" customHeight="1" thickTop="1" thickBot="1">
      <c r="A148" s="881">
        <f>Kalkulation_Eigenstrom!$E$15</f>
        <v>1</v>
      </c>
      <c r="B148" s="8">
        <v>143</v>
      </c>
      <c r="C148" s="4">
        <v>4</v>
      </c>
      <c r="D148" s="5" t="s">
        <v>1077</v>
      </c>
      <c r="E148" s="17"/>
      <c r="F148" s="153">
        <v>0.19</v>
      </c>
      <c r="G148" s="27" t="s">
        <v>55</v>
      </c>
      <c r="H148" s="21">
        <v>10</v>
      </c>
      <c r="I148" s="886">
        <f>IF(A148=2,Vergütungen_Original!E128,Vergütungen_Original!F128)</f>
        <v>8.48E-2</v>
      </c>
      <c r="J148" s="36">
        <v>40</v>
      </c>
      <c r="K148" s="889">
        <f>IF(A148=2,Vergütungen_Original!H128,Vergütungen_Original!I128)</f>
        <v>8.2400000000000001E-2</v>
      </c>
      <c r="L148" s="472">
        <v>1000</v>
      </c>
      <c r="M148" s="889">
        <f>IF(A148=2,Vergütungen_Original!K128,Vergütungen_Original!L128)</f>
        <v>6.4600000000000005E-2</v>
      </c>
      <c r="N148" s="473">
        <v>1000</v>
      </c>
      <c r="O148" s="889">
        <f>IF(A148=2,Vergütungen_Original!N128,Vergütungen_Original!O128)</f>
        <v>5.8299999999999998E-2</v>
      </c>
      <c r="P148" s="473"/>
      <c r="Q148" s="889">
        <f>IF(A148=2,Vergütungen_Original!T128,Vergütungen_Original!U128)</f>
        <v>5.8299999999999998E-2</v>
      </c>
      <c r="R148" s="1628">
        <f>IF(A148=2,Vergütungen_Original!AA128,Vergütungen_Original!Z128)</f>
        <v>100</v>
      </c>
      <c r="S148" s="1629"/>
      <c r="T148" s="1629"/>
      <c r="U148" s="1630"/>
      <c r="V148" s="60"/>
      <c r="W148" s="62"/>
      <c r="X148" s="60"/>
      <c r="Y148" s="62"/>
      <c r="Z148" s="61"/>
      <c r="AA148" s="61"/>
      <c r="AB148" s="53"/>
      <c r="AC148" s="74">
        <v>0</v>
      </c>
      <c r="AD148" s="53"/>
      <c r="AE148" s="74">
        <v>0</v>
      </c>
      <c r="AF148" s="53"/>
      <c r="AG148" s="74">
        <v>0</v>
      </c>
      <c r="AH148" s="1105">
        <v>10000</v>
      </c>
      <c r="AI148" s="1103">
        <v>100</v>
      </c>
      <c r="AJ148" s="1103">
        <v>10</v>
      </c>
      <c r="AK148" s="1103">
        <v>10000</v>
      </c>
      <c r="AL148" s="54"/>
      <c r="AM148" s="54"/>
      <c r="AN148" s="54"/>
      <c r="AO148" s="10"/>
      <c r="AP148" s="10"/>
    </row>
    <row r="149" spans="1:42" s="6" customFormat="1" ht="15" customHeight="1" thickTop="1" thickBot="1">
      <c r="A149" s="881">
        <f>Kalkulation_Eigenstrom!$E$15</f>
        <v>1</v>
      </c>
      <c r="B149" s="8">
        <v>144</v>
      </c>
      <c r="C149" s="4">
        <v>4</v>
      </c>
      <c r="D149" s="5" t="s">
        <v>1031</v>
      </c>
      <c r="E149" s="17"/>
      <c r="F149" s="153">
        <v>0.19</v>
      </c>
      <c r="G149" s="27" t="s">
        <v>55</v>
      </c>
      <c r="H149" s="21">
        <v>10</v>
      </c>
      <c r="I149" s="886">
        <f>IF(A149=2,Vergütungen_Original!E129,Vergütungen_Original!F129)</f>
        <v>8.3199999999999996E-2</v>
      </c>
      <c r="J149" s="36">
        <v>40</v>
      </c>
      <c r="K149" s="889">
        <f>IF(A149=2,Vergütungen_Original!H129,Vergütungen_Original!I129)</f>
        <v>8.09E-2</v>
      </c>
      <c r="L149" s="472">
        <v>1000</v>
      </c>
      <c r="M149" s="889">
        <f>IF(A149=2,Vergütungen_Original!K129,Vergütungen_Original!L129)</f>
        <v>6.3399999999999998E-2</v>
      </c>
      <c r="N149" s="473">
        <v>1000</v>
      </c>
      <c r="O149" s="889">
        <f>IF(A149=2,Vergütungen_Original!N129,Vergütungen_Original!O129)</f>
        <v>5.7200000000000001E-2</v>
      </c>
      <c r="P149" s="473"/>
      <c r="Q149" s="889">
        <f>IF(A149=2,Vergütungen_Original!T129,Vergütungen_Original!U129)</f>
        <v>5.7200000000000001E-2</v>
      </c>
      <c r="R149" s="1628">
        <f>IF(A149=2,Vergütungen_Original!AA129,Vergütungen_Original!Z129)</f>
        <v>100</v>
      </c>
      <c r="S149" s="1629"/>
      <c r="T149" s="1629"/>
      <c r="U149" s="1630"/>
      <c r="V149" s="60"/>
      <c r="W149" s="62"/>
      <c r="X149" s="60"/>
      <c r="Y149" s="62"/>
      <c r="Z149" s="61"/>
      <c r="AA149" s="61"/>
      <c r="AB149" s="53"/>
      <c r="AC149" s="74">
        <v>0</v>
      </c>
      <c r="AD149" s="53"/>
      <c r="AE149" s="74">
        <v>0</v>
      </c>
      <c r="AF149" s="53"/>
      <c r="AG149" s="74">
        <v>0</v>
      </c>
      <c r="AH149" s="1105">
        <v>10000</v>
      </c>
      <c r="AI149" s="1103">
        <v>100</v>
      </c>
      <c r="AJ149" s="1103">
        <v>10</v>
      </c>
      <c r="AK149" s="1103">
        <v>10000</v>
      </c>
      <c r="AL149" s="54"/>
      <c r="AM149" s="54"/>
      <c r="AN149" s="54"/>
      <c r="AO149" s="10"/>
      <c r="AP149" s="10"/>
    </row>
    <row r="150" spans="1:42" s="6" customFormat="1" ht="15" customHeight="1" thickTop="1" thickBot="1">
      <c r="A150" s="881">
        <f>Kalkulation_Eigenstrom!$E$15</f>
        <v>1</v>
      </c>
      <c r="B150" s="8">
        <v>145</v>
      </c>
      <c r="C150" s="4">
        <v>4</v>
      </c>
      <c r="D150" s="5" t="s">
        <v>1032</v>
      </c>
      <c r="E150" s="17"/>
      <c r="F150" s="153">
        <v>0.19</v>
      </c>
      <c r="G150" s="27" t="s">
        <v>55</v>
      </c>
      <c r="H150" s="21">
        <v>10</v>
      </c>
      <c r="I150" s="886">
        <f>IF(A150=2,Vergütungen_Original!E130,Vergütungen_Original!F130)</f>
        <v>8.1600000000000006E-2</v>
      </c>
      <c r="J150" s="36">
        <v>40</v>
      </c>
      <c r="K150" s="889">
        <f>IF(A150=2,Vergütungen_Original!H130,Vergütungen_Original!I130)</f>
        <v>7.9299999999999995E-2</v>
      </c>
      <c r="L150" s="472">
        <v>1000</v>
      </c>
      <c r="M150" s="889">
        <f>IF(A150=2,Vergütungen_Original!K130,Vergütungen_Original!L130)</f>
        <v>6.2199999999999998E-2</v>
      </c>
      <c r="N150" s="473">
        <v>1000</v>
      </c>
      <c r="O150" s="889">
        <f>IF(A150=2,Vergütungen_Original!N130,Vergütungen_Original!O130)</f>
        <v>5.6099999999999997E-2</v>
      </c>
      <c r="P150" s="473"/>
      <c r="Q150" s="889">
        <f>IF(A150=2,Vergütungen_Original!T130,Vergütungen_Original!U130)</f>
        <v>5.6099999999999997E-2</v>
      </c>
      <c r="R150" s="1628">
        <f>IF(A150=2,Vergütungen_Original!AA130,Vergütungen_Original!Z130)</f>
        <v>100</v>
      </c>
      <c r="S150" s="1629"/>
      <c r="T150" s="1629"/>
      <c r="U150" s="1630"/>
      <c r="V150" s="60"/>
      <c r="W150" s="62"/>
      <c r="X150" s="60"/>
      <c r="Y150" s="62"/>
      <c r="Z150" s="61"/>
      <c r="AA150" s="61"/>
      <c r="AB150" s="53"/>
      <c r="AC150" s="74">
        <v>0</v>
      </c>
      <c r="AD150" s="53"/>
      <c r="AE150" s="74">
        <v>0</v>
      </c>
      <c r="AF150" s="53"/>
      <c r="AG150" s="74">
        <v>0</v>
      </c>
      <c r="AH150" s="1106">
        <v>10000</v>
      </c>
      <c r="AI150" s="1104">
        <v>100</v>
      </c>
      <c r="AJ150" s="1103">
        <v>30</v>
      </c>
      <c r="AK150" s="1103">
        <v>30000</v>
      </c>
      <c r="AL150" s="54"/>
      <c r="AM150" s="54"/>
      <c r="AN150" s="54"/>
      <c r="AO150" s="10"/>
      <c r="AP150" s="10"/>
    </row>
    <row r="151" spans="1:42" s="6" customFormat="1" ht="15" customHeight="1" thickTop="1" thickBot="1">
      <c r="A151" s="881">
        <f>Kalkulation_Eigenstrom!$E$15</f>
        <v>1</v>
      </c>
      <c r="B151" s="8">
        <v>146</v>
      </c>
      <c r="C151" s="4">
        <v>4</v>
      </c>
      <c r="D151" s="5" t="s">
        <v>1099</v>
      </c>
      <c r="E151" s="17"/>
      <c r="F151" s="153">
        <v>0.19</v>
      </c>
      <c r="G151" s="27" t="s">
        <v>55</v>
      </c>
      <c r="H151" s="21">
        <v>10</v>
      </c>
      <c r="I151" s="886">
        <f>IF(A151=2,Vergütungen_Original!E131,Vergütungen_Original!F131)</f>
        <v>8.0399999999999999E-2</v>
      </c>
      <c r="J151" s="36">
        <v>40</v>
      </c>
      <c r="K151" s="889">
        <f>IF(A151=2,Vergütungen_Original!H131,Vergütungen_Original!I131)</f>
        <v>7.8100000000000003E-2</v>
      </c>
      <c r="L151" s="472">
        <v>1000</v>
      </c>
      <c r="M151" s="889">
        <f>IF(A151=2,Vergütungen_Original!K131,Vergütungen_Original!L131)</f>
        <v>6.13E-2</v>
      </c>
      <c r="N151" s="473">
        <v>1000</v>
      </c>
      <c r="O151" s="889">
        <f>IF(A151=2,Vergütungen_Original!N131,Vergütungen_Original!O131)</f>
        <v>5.5300000000000002E-2</v>
      </c>
      <c r="P151" s="473"/>
      <c r="Q151" s="889">
        <f>IF(A151=2,Vergütungen_Original!T131,Vergütungen_Original!U131)</f>
        <v>5.5300000000000002E-2</v>
      </c>
      <c r="R151" s="1628">
        <f>IF(A151=2,Vergütungen_Original!AA131,Vergütungen_Original!Z131)</f>
        <v>100</v>
      </c>
      <c r="S151" s="1629"/>
      <c r="T151" s="1629"/>
      <c r="U151" s="1630"/>
      <c r="V151" s="60"/>
      <c r="W151" s="62"/>
      <c r="X151" s="60"/>
      <c r="Y151" s="62"/>
      <c r="Z151" s="61"/>
      <c r="AA151" s="61"/>
      <c r="AB151" s="53"/>
      <c r="AC151" s="74">
        <v>0</v>
      </c>
      <c r="AD151" s="53"/>
      <c r="AE151" s="74">
        <v>0</v>
      </c>
      <c r="AF151" s="53"/>
      <c r="AG151" s="74">
        <v>0</v>
      </c>
      <c r="AH151" s="1106">
        <v>10000</v>
      </c>
      <c r="AI151" s="1104">
        <v>100</v>
      </c>
      <c r="AJ151" s="1103">
        <v>30</v>
      </c>
      <c r="AK151" s="1103">
        <v>30000</v>
      </c>
      <c r="AL151" s="54"/>
      <c r="AM151" s="54"/>
      <c r="AN151" s="54"/>
      <c r="AO151" s="10"/>
      <c r="AP151" s="10"/>
    </row>
    <row r="152" spans="1:42" s="6" customFormat="1" ht="15" customHeight="1" thickTop="1" thickBot="1">
      <c r="A152" s="881">
        <f>Kalkulation_Eigenstrom!$E$15</f>
        <v>1</v>
      </c>
      <c r="B152" s="8">
        <v>147</v>
      </c>
      <c r="C152" s="4">
        <v>4</v>
      </c>
      <c r="D152" s="5" t="s">
        <v>1033</v>
      </c>
      <c r="E152" s="17"/>
      <c r="F152" s="153">
        <v>0.19</v>
      </c>
      <c r="G152" s="27" t="s">
        <v>55</v>
      </c>
      <c r="H152" s="21">
        <v>10</v>
      </c>
      <c r="I152" s="886">
        <f>IF(A152=2,Vergütungen_Original!E132,Vergütungen_Original!F132)</f>
        <v>7.9200000000000007E-2</v>
      </c>
      <c r="J152" s="36">
        <v>40</v>
      </c>
      <c r="K152" s="889">
        <f>IF(A152=2,Vergütungen_Original!H132,Vergütungen_Original!I132)</f>
        <v>7.6999999999999999E-2</v>
      </c>
      <c r="L152" s="472">
        <v>1000</v>
      </c>
      <c r="M152" s="889">
        <f>IF(A152=2,Vergütungen_Original!K132,Vergütungen_Original!L132)</f>
        <v>6.0400000000000002E-2</v>
      </c>
      <c r="N152" s="473">
        <v>1000</v>
      </c>
      <c r="O152" s="889">
        <f>IF(A152=2,Vergütungen_Original!N132,Vergütungen_Original!O132)</f>
        <v>5.4399999999999997E-2</v>
      </c>
      <c r="P152" s="473"/>
      <c r="Q152" s="889">
        <f>IF(A152=2,Vergütungen_Original!T132,Vergütungen_Original!U132)</f>
        <v>5.4399999999999997E-2</v>
      </c>
      <c r="R152" s="1628">
        <f>IF(A152=2,Vergütungen_Original!AA132,Vergütungen_Original!Z132)</f>
        <v>100</v>
      </c>
      <c r="S152" s="1629"/>
      <c r="T152" s="1629"/>
      <c r="U152" s="1630"/>
      <c r="V152" s="60"/>
      <c r="W152" s="62"/>
      <c r="X152" s="60"/>
      <c r="Y152" s="62"/>
      <c r="Z152" s="61"/>
      <c r="AA152" s="61"/>
      <c r="AB152" s="53"/>
      <c r="AC152" s="74">
        <v>0</v>
      </c>
      <c r="AD152" s="53"/>
      <c r="AE152" s="74">
        <v>0</v>
      </c>
      <c r="AF152" s="53"/>
      <c r="AG152" s="74">
        <v>0</v>
      </c>
      <c r="AH152" s="1106">
        <v>10000</v>
      </c>
      <c r="AI152" s="1104">
        <v>100</v>
      </c>
      <c r="AJ152" s="1103">
        <v>30</v>
      </c>
      <c r="AK152" s="1103">
        <v>30000</v>
      </c>
      <c r="AL152" s="54"/>
      <c r="AM152" s="54"/>
      <c r="AN152" s="54"/>
      <c r="AO152" s="10"/>
      <c r="AP152" s="10"/>
    </row>
    <row r="153" spans="1:42" s="6" customFormat="1" ht="15" customHeight="1" thickTop="1" thickBot="1">
      <c r="A153" s="881">
        <f>Kalkulation_Eigenstrom!$E$15</f>
        <v>1</v>
      </c>
      <c r="B153" s="8">
        <v>148</v>
      </c>
      <c r="C153" s="4">
        <v>4</v>
      </c>
      <c r="D153" s="5" t="s">
        <v>1034</v>
      </c>
      <c r="E153" s="17"/>
      <c r="F153" s="153">
        <v>0.19</v>
      </c>
      <c r="G153" s="27" t="s">
        <v>55</v>
      </c>
      <c r="H153" s="21">
        <v>10</v>
      </c>
      <c r="I153" s="886">
        <f>IF(A153=2,Vergütungen_Original!E133,Vergütungen_Original!F133)</f>
        <v>7.8100000000000003E-2</v>
      </c>
      <c r="J153" s="36">
        <v>40</v>
      </c>
      <c r="K153" s="889">
        <f>IF(A153=2,Vergütungen_Original!H133,Vergütungen_Original!I133)</f>
        <v>7.5899999999999995E-2</v>
      </c>
      <c r="L153" s="472">
        <v>1000</v>
      </c>
      <c r="M153" s="889">
        <f>IF(A153=2,Vergütungen_Original!K133,Vergütungen_Original!L133)</f>
        <v>5.9499999999999997E-2</v>
      </c>
      <c r="N153" s="473">
        <v>1000</v>
      </c>
      <c r="O153" s="889">
        <f>IF(A153=2,Vergütungen_Original!N133,Vergütungen_Original!O133)</f>
        <v>5.3600000000000002E-2</v>
      </c>
      <c r="P153" s="473"/>
      <c r="Q153" s="889">
        <f>IF(A153=2,Vergütungen_Original!T133,Vergütungen_Original!U133)</f>
        <v>5.3600000000000002E-2</v>
      </c>
      <c r="R153" s="1628">
        <f>IF(A153=2,Vergütungen_Original!AA133,Vergütungen_Original!Z133)</f>
        <v>100</v>
      </c>
      <c r="S153" s="1629"/>
      <c r="T153" s="1629"/>
      <c r="U153" s="1630"/>
      <c r="V153" s="60"/>
      <c r="W153" s="62"/>
      <c r="X153" s="60"/>
      <c r="Y153" s="62"/>
      <c r="Z153" s="61"/>
      <c r="AA153" s="61"/>
      <c r="AB153" s="53"/>
      <c r="AC153" s="74">
        <v>0</v>
      </c>
      <c r="AD153" s="53"/>
      <c r="AE153" s="74">
        <v>0</v>
      </c>
      <c r="AF153" s="53"/>
      <c r="AG153" s="74">
        <v>0</v>
      </c>
      <c r="AH153" s="1116">
        <v>300</v>
      </c>
      <c r="AI153" s="1115">
        <v>50</v>
      </c>
      <c r="AJ153" s="1103">
        <v>30</v>
      </c>
      <c r="AK153" s="1103">
        <v>30000</v>
      </c>
      <c r="AL153" s="54"/>
      <c r="AM153" s="54"/>
      <c r="AN153" s="54"/>
      <c r="AO153" s="10"/>
      <c r="AP153" s="10"/>
    </row>
    <row r="154" spans="1:42" s="6" customFormat="1" ht="15" customHeight="1" thickTop="1" thickBot="1">
      <c r="A154" s="881">
        <f>Kalkulation_Eigenstrom!$E$15</f>
        <v>1</v>
      </c>
      <c r="B154" s="8">
        <v>149</v>
      </c>
      <c r="C154" s="4">
        <v>4</v>
      </c>
      <c r="D154" s="5" t="s">
        <v>1035</v>
      </c>
      <c r="E154" s="17"/>
      <c r="F154" s="153">
        <v>0.19</v>
      </c>
      <c r="G154" s="27" t="s">
        <v>55</v>
      </c>
      <c r="H154" s="21">
        <v>10</v>
      </c>
      <c r="I154" s="886">
        <f>IF(A154=2,Vergütungen_Original!E134,Vergütungen_Original!F134)</f>
        <v>7.6899999999999996E-2</v>
      </c>
      <c r="J154" s="36">
        <v>40</v>
      </c>
      <c r="K154" s="889">
        <f>IF(A154=2,Vergütungen_Original!H134,Vergütungen_Original!I134)</f>
        <v>7.4700000000000003E-2</v>
      </c>
      <c r="L154" s="472">
        <v>1000</v>
      </c>
      <c r="M154" s="889">
        <f>IF(A154=2,Vergütungen_Original!K134,Vergütungen_Original!L134)</f>
        <v>5.8599999999999999E-2</v>
      </c>
      <c r="N154" s="473">
        <v>1000</v>
      </c>
      <c r="O154" s="889">
        <f>IF(A154=2,Vergütungen_Original!N134,Vergütungen_Original!O134)</f>
        <v>5.28E-2</v>
      </c>
      <c r="P154" s="473"/>
      <c r="Q154" s="889">
        <f>IF(A154=2,Vergütungen_Original!T134,Vergütungen_Original!U134)</f>
        <v>5.28E-2</v>
      </c>
      <c r="R154" s="1628">
        <f>IF(A154=2,Vergütungen_Original!AA134,Vergütungen_Original!Z134)</f>
        <v>100</v>
      </c>
      <c r="S154" s="1629"/>
      <c r="T154" s="1629"/>
      <c r="U154" s="1630"/>
      <c r="V154" s="60"/>
      <c r="W154" s="62"/>
      <c r="X154" s="60"/>
      <c r="Y154" s="62"/>
      <c r="Z154" s="61"/>
      <c r="AA154" s="61"/>
      <c r="AB154" s="53"/>
      <c r="AC154" s="74">
        <v>0</v>
      </c>
      <c r="AD154" s="53"/>
      <c r="AE154" s="74">
        <v>0</v>
      </c>
      <c r="AF154" s="53"/>
      <c r="AG154" s="74">
        <v>0</v>
      </c>
      <c r="AH154" s="1116">
        <v>300</v>
      </c>
      <c r="AI154" s="1115">
        <v>50</v>
      </c>
      <c r="AJ154" s="1103">
        <v>30</v>
      </c>
      <c r="AK154" s="1103">
        <v>30000</v>
      </c>
      <c r="AL154" s="54"/>
      <c r="AM154" s="54"/>
      <c r="AN154" s="54"/>
      <c r="AO154" s="10"/>
      <c r="AP154" s="10"/>
    </row>
    <row r="155" spans="1:42" s="6" customFormat="1" ht="15" customHeight="1" thickTop="1" thickBot="1">
      <c r="A155" s="881">
        <f>Kalkulation_Eigenstrom!$E$15</f>
        <v>1</v>
      </c>
      <c r="B155" s="8">
        <v>150</v>
      </c>
      <c r="C155" s="4">
        <v>4</v>
      </c>
      <c r="D155" s="5" t="s">
        <v>1036</v>
      </c>
      <c r="E155" s="17"/>
      <c r="F155" s="153">
        <v>0.19</v>
      </c>
      <c r="G155" s="27" t="s">
        <v>55</v>
      </c>
      <c r="H155" s="21">
        <v>10</v>
      </c>
      <c r="I155" s="886">
        <f>IF(A155=2,Vergütungen_Original!E135,Vergütungen_Original!F135)</f>
        <v>7.5800000000000006E-2</v>
      </c>
      <c r="J155" s="36">
        <v>40</v>
      </c>
      <c r="K155" s="889">
        <f>IF(A155=2,Vergütungen_Original!H135,Vergütungen_Original!I135)</f>
        <v>7.3599999999999999E-2</v>
      </c>
      <c r="L155" s="472">
        <v>1000</v>
      </c>
      <c r="M155" s="889">
        <f>IF(A155=2,Vergütungen_Original!K135,Vergütungen_Original!L135)</f>
        <v>5.7700000000000001E-2</v>
      </c>
      <c r="N155" s="473">
        <v>1000</v>
      </c>
      <c r="O155" s="889">
        <f>IF(A155=2,Vergütungen_Original!N135,Vergütungen_Original!O135)</f>
        <v>5.1999999999999998E-2</v>
      </c>
      <c r="P155" s="473"/>
      <c r="Q155" s="889">
        <f>IF(A155=2,Vergütungen_Original!T135,Vergütungen_Original!U135)</f>
        <v>5.1999999999999998E-2</v>
      </c>
      <c r="R155" s="1628">
        <f>IF(A155=2,Vergütungen_Original!AA135,Vergütungen_Original!Z135)</f>
        <v>100</v>
      </c>
      <c r="S155" s="1629"/>
      <c r="T155" s="1629"/>
      <c r="U155" s="1630"/>
      <c r="V155" s="60"/>
      <c r="W155" s="62"/>
      <c r="X155" s="60"/>
      <c r="Y155" s="62"/>
      <c r="Z155" s="61"/>
      <c r="AA155" s="61"/>
      <c r="AB155" s="53"/>
      <c r="AC155" s="74">
        <v>0</v>
      </c>
      <c r="AD155" s="53"/>
      <c r="AE155" s="74">
        <v>0</v>
      </c>
      <c r="AF155" s="53"/>
      <c r="AG155" s="74">
        <v>0</v>
      </c>
      <c r="AH155" s="1116">
        <v>300</v>
      </c>
      <c r="AI155" s="1115">
        <v>50</v>
      </c>
      <c r="AJ155" s="1103">
        <v>30</v>
      </c>
      <c r="AK155" s="1103">
        <v>30000</v>
      </c>
      <c r="AL155" s="54"/>
      <c r="AM155" s="54"/>
      <c r="AN155" s="54"/>
      <c r="AO155" s="10"/>
      <c r="AP155" s="10"/>
    </row>
    <row r="156" spans="1:42" s="6" customFormat="1" ht="15" customHeight="1" thickTop="1" thickBot="1">
      <c r="A156" s="881">
        <f>Kalkulation_Eigenstrom!$E$15</f>
        <v>1</v>
      </c>
      <c r="B156" s="8">
        <v>151</v>
      </c>
      <c r="C156" s="4">
        <v>4</v>
      </c>
      <c r="D156" s="5" t="s">
        <v>1037</v>
      </c>
      <c r="E156" s="17"/>
      <c r="F156" s="153">
        <v>0.19</v>
      </c>
      <c r="G156" s="27" t="s">
        <v>55</v>
      </c>
      <c r="H156" s="21">
        <v>10</v>
      </c>
      <c r="I156" s="886">
        <f>IF(A156=2,Vergütungen_Original!E136,Vergütungen_Original!F136)</f>
        <v>7.4700000000000003E-2</v>
      </c>
      <c r="J156" s="36">
        <v>40</v>
      </c>
      <c r="K156" s="889">
        <f>IF(A156=2,Vergütungen_Original!H136,Vergütungen_Original!I136)</f>
        <v>7.2499999999999995E-2</v>
      </c>
      <c r="L156" s="472">
        <v>1000</v>
      </c>
      <c r="M156" s="889">
        <f>IF(A156=2,Vergütungen_Original!K136,Vergütungen_Original!L136)</f>
        <v>5.6800000000000003E-2</v>
      </c>
      <c r="N156" s="473">
        <v>1000</v>
      </c>
      <c r="O156" s="889">
        <f>IF(A156=2,Vergütungen_Original!N136,Vergütungen_Original!O136)</f>
        <v>5.1200000000000002E-2</v>
      </c>
      <c r="P156" s="473"/>
      <c r="Q156" s="889">
        <f>IF(A156=2,Vergütungen_Original!T136,Vergütungen_Original!U136)</f>
        <v>5.1200000000000002E-2</v>
      </c>
      <c r="R156" s="1628">
        <f>IF(A156=2,Vergütungen_Original!AA136,Vergütungen_Original!Z136)</f>
        <v>100</v>
      </c>
      <c r="S156" s="1629"/>
      <c r="T156" s="1629"/>
      <c r="U156" s="1630"/>
      <c r="V156" s="60"/>
      <c r="W156" s="62"/>
      <c r="X156" s="60"/>
      <c r="Y156" s="62"/>
      <c r="Z156" s="61"/>
      <c r="AA156" s="61"/>
      <c r="AB156" s="53"/>
      <c r="AC156" s="74">
        <v>0</v>
      </c>
      <c r="AD156" s="53"/>
      <c r="AE156" s="74">
        <v>0</v>
      </c>
      <c r="AF156" s="53"/>
      <c r="AG156" s="74">
        <v>0</v>
      </c>
      <c r="AH156" s="1116">
        <v>300</v>
      </c>
      <c r="AI156" s="1115">
        <v>50</v>
      </c>
      <c r="AJ156" s="1103">
        <v>30</v>
      </c>
      <c r="AK156" s="1103">
        <v>30000</v>
      </c>
      <c r="AL156" s="54"/>
      <c r="AM156" s="54"/>
      <c r="AN156" s="54"/>
      <c r="AO156" s="10"/>
      <c r="AP156" s="10"/>
    </row>
    <row r="157" spans="1:42" s="6" customFormat="1" ht="15" customHeight="1" thickTop="1" thickBot="1">
      <c r="A157" s="881">
        <f>Kalkulation_Eigenstrom!$E$15</f>
        <v>1</v>
      </c>
      <c r="B157" s="8">
        <v>152</v>
      </c>
      <c r="C157" s="4">
        <v>4</v>
      </c>
      <c r="D157" s="5" t="s">
        <v>1038</v>
      </c>
      <c r="E157" s="17"/>
      <c r="F157" s="153">
        <v>0.19</v>
      </c>
      <c r="G157" s="27" t="s">
        <v>55</v>
      </c>
      <c r="H157" s="21">
        <v>10</v>
      </c>
      <c r="I157" s="886">
        <f>IF(A157=2,Vergütungen_Original!E137,Vergütungen_Original!F137)</f>
        <v>7.3599999999999999E-2</v>
      </c>
      <c r="J157" s="36">
        <v>40</v>
      </c>
      <c r="K157" s="889">
        <f>IF(A157=2,Vergütungen_Original!H137,Vergütungen_Original!I137)</f>
        <v>7.1499999999999994E-2</v>
      </c>
      <c r="L157" s="472">
        <v>1000</v>
      </c>
      <c r="M157" s="889">
        <f>IF(A157=2,Vergütungen_Original!K137,Vergütungen_Original!L137)</f>
        <v>5.6000000000000001E-2</v>
      </c>
      <c r="N157" s="473">
        <v>1000</v>
      </c>
      <c r="O157" s="889">
        <f>IF(A157=2,Vergütungen_Original!N137,Vergütungen_Original!O137)</f>
        <v>5.0500000000000003E-2</v>
      </c>
      <c r="P157" s="473"/>
      <c r="Q157" s="889">
        <f>IF(A157=2,Vergütungen_Original!T137,Vergütungen_Original!U137)</f>
        <v>5.0500000000000003E-2</v>
      </c>
      <c r="R157" s="1628">
        <f>IF(A157=2,Vergütungen_Original!AA137,Vergütungen_Original!Z137)</f>
        <v>100</v>
      </c>
      <c r="S157" s="1629"/>
      <c r="T157" s="1629"/>
      <c r="U157" s="1630"/>
      <c r="V157" s="60"/>
      <c r="W157" s="62"/>
      <c r="X157" s="60"/>
      <c r="Y157" s="62"/>
      <c r="Z157" s="61"/>
      <c r="AA157" s="61"/>
      <c r="AB157" s="53"/>
      <c r="AC157" s="74">
        <v>0</v>
      </c>
      <c r="AD157" s="53"/>
      <c r="AE157" s="74">
        <v>0</v>
      </c>
      <c r="AF157" s="53"/>
      <c r="AG157" s="74">
        <v>0</v>
      </c>
      <c r="AH157" s="1116">
        <v>300</v>
      </c>
      <c r="AI157" s="1115">
        <v>50</v>
      </c>
      <c r="AJ157" s="1103">
        <v>30</v>
      </c>
      <c r="AK157" s="1103">
        <v>30000</v>
      </c>
      <c r="AL157" s="54"/>
      <c r="AM157" s="54"/>
      <c r="AN157" s="54"/>
      <c r="AO157" s="10"/>
      <c r="AP157" s="10"/>
    </row>
    <row r="158" spans="1:42" s="6" customFormat="1" ht="15" customHeight="1" thickTop="1" thickBot="1">
      <c r="A158" s="881">
        <f>Kalkulation_Eigenstrom!$E$15</f>
        <v>1</v>
      </c>
      <c r="B158" s="8">
        <v>153</v>
      </c>
      <c r="C158" s="4">
        <v>4</v>
      </c>
      <c r="D158" s="5" t="s">
        <v>1039</v>
      </c>
      <c r="E158" s="17"/>
      <c r="F158" s="153">
        <v>0.19</v>
      </c>
      <c r="G158" s="27" t="s">
        <v>55</v>
      </c>
      <c r="H158" s="21">
        <v>10</v>
      </c>
      <c r="I158" s="886">
        <f>IF(A158=2,Vergütungen_Original!E138,Vergütungen_Original!F138)</f>
        <v>7.2499999999999995E-2</v>
      </c>
      <c r="J158" s="36">
        <v>40</v>
      </c>
      <c r="K158" s="889">
        <f>IF(A158=2,Vergütungen_Original!H138,Vergütungen_Original!I138)</f>
        <v>7.0400000000000004E-2</v>
      </c>
      <c r="L158" s="472">
        <v>1000</v>
      </c>
      <c r="M158" s="889">
        <f>IF(A158=2,Vergütungen_Original!K138,Vergütungen_Original!L138)</f>
        <v>5.5100000000000003E-2</v>
      </c>
      <c r="N158" s="473">
        <v>1000</v>
      </c>
      <c r="O158" s="889">
        <f>IF(A158=2,Vergütungen_Original!N138,Vergütungen_Original!O138)</f>
        <v>4.9700000000000001E-2</v>
      </c>
      <c r="P158" s="473"/>
      <c r="Q158" s="889">
        <f>IF(A158=2,Vergütungen_Original!T138,Vergütungen_Original!U138)</f>
        <v>4.9700000000000001E-2</v>
      </c>
      <c r="R158" s="1628">
        <f>IF(A158=2,Vergütungen_Original!AA138,Vergütungen_Original!Z138)</f>
        <v>100</v>
      </c>
      <c r="S158" s="1629"/>
      <c r="T158" s="1629"/>
      <c r="U158" s="1630"/>
      <c r="V158" s="60"/>
      <c r="W158" s="62"/>
      <c r="X158" s="60"/>
      <c r="Y158" s="62"/>
      <c r="Z158" s="61"/>
      <c r="AA158" s="61"/>
      <c r="AB158" s="53"/>
      <c r="AC158" s="74">
        <v>0</v>
      </c>
      <c r="AD158" s="53"/>
      <c r="AE158" s="74">
        <v>0</v>
      </c>
      <c r="AF158" s="53"/>
      <c r="AG158" s="74">
        <v>0</v>
      </c>
      <c r="AH158" s="1116">
        <v>300</v>
      </c>
      <c r="AI158" s="1115">
        <v>50</v>
      </c>
      <c r="AJ158" s="1103">
        <v>30</v>
      </c>
      <c r="AK158" s="1103">
        <v>30000</v>
      </c>
      <c r="AL158" s="54"/>
      <c r="AM158" s="54"/>
      <c r="AN158" s="54"/>
      <c r="AO158" s="10"/>
      <c r="AP158" s="10"/>
    </row>
    <row r="159" spans="1:42" s="6" customFormat="1" ht="15" customHeight="1" thickTop="1" thickBot="1">
      <c r="A159" s="881">
        <f>Kalkulation_Eigenstrom!$E$15</f>
        <v>1</v>
      </c>
      <c r="B159" s="8">
        <v>154</v>
      </c>
      <c r="C159" s="4">
        <v>4</v>
      </c>
      <c r="D159" s="5" t="s">
        <v>1040</v>
      </c>
      <c r="E159" s="17"/>
      <c r="F159" s="153">
        <v>0.19</v>
      </c>
      <c r="G159" s="27" t="s">
        <v>55</v>
      </c>
      <c r="H159" s="21">
        <v>10</v>
      </c>
      <c r="I159" s="886">
        <f>IF(A159=2,Vergütungen_Original!E139,Vergütungen_Original!F139)</f>
        <v>7.1400000000000005E-2</v>
      </c>
      <c r="J159" s="36">
        <v>40</v>
      </c>
      <c r="K159" s="889">
        <f>IF(A159=2,Vergütungen_Original!H139,Vergütungen_Original!I139)</f>
        <v>6.9400000000000003E-2</v>
      </c>
      <c r="L159" s="472">
        <v>1000</v>
      </c>
      <c r="M159" s="889">
        <f>IF(A159=2,Vergütungen_Original!K139,Vergütungen_Original!L139)</f>
        <v>5.4300000000000001E-2</v>
      </c>
      <c r="N159" s="473">
        <v>1000</v>
      </c>
      <c r="O159" s="889">
        <f>IF(A159=2,Vergütungen_Original!N139,Vergütungen_Original!O139)</f>
        <v>4.8899999999999999E-2</v>
      </c>
      <c r="P159" s="473"/>
      <c r="Q159" s="889">
        <f>IF(A159=2,Vergütungen_Original!T139,Vergütungen_Original!U139)</f>
        <v>4.8899999999999999E-2</v>
      </c>
      <c r="R159" s="1628">
        <f>IF(A159=2,Vergütungen_Original!AA139,Vergütungen_Original!Z139)</f>
        <v>100</v>
      </c>
      <c r="S159" s="1629"/>
      <c r="T159" s="1629"/>
      <c r="U159" s="1630"/>
      <c r="V159" s="60"/>
      <c r="W159" s="62"/>
      <c r="X159" s="60"/>
      <c r="Y159" s="62"/>
      <c r="Z159" s="61"/>
      <c r="AA159" s="61"/>
      <c r="AB159" s="53"/>
      <c r="AC159" s="74">
        <v>0</v>
      </c>
      <c r="AD159" s="53"/>
      <c r="AE159" s="74">
        <v>0</v>
      </c>
      <c r="AF159" s="53"/>
      <c r="AG159" s="74">
        <v>0</v>
      </c>
      <c r="AH159" s="1116">
        <v>300</v>
      </c>
      <c r="AI159" s="1115">
        <v>50</v>
      </c>
      <c r="AJ159" s="1103">
        <v>30</v>
      </c>
      <c r="AK159" s="1103">
        <v>30000</v>
      </c>
      <c r="AL159" s="54"/>
      <c r="AM159" s="54"/>
      <c r="AN159" s="54"/>
      <c r="AO159" s="10"/>
      <c r="AP159" s="10"/>
    </row>
    <row r="160" spans="1:42" s="6" customFormat="1" ht="15" customHeight="1" thickTop="1" thickBot="1">
      <c r="A160" s="881">
        <f>Kalkulation_Eigenstrom!$E$15</f>
        <v>1</v>
      </c>
      <c r="B160" s="8">
        <v>155</v>
      </c>
      <c r="C160" s="4">
        <v>4</v>
      </c>
      <c r="D160" s="5" t="s">
        <v>1041</v>
      </c>
      <c r="E160" s="17"/>
      <c r="F160" s="153">
        <v>0.19</v>
      </c>
      <c r="G160" s="27" t="s">
        <v>55</v>
      </c>
      <c r="H160" s="21">
        <v>10</v>
      </c>
      <c r="I160" s="886">
        <f>IF(A160=2,Vergütungen_Original!E140,Vergütungen_Original!F140)</f>
        <v>7.0300000000000001E-2</v>
      </c>
      <c r="J160" s="36">
        <v>40</v>
      </c>
      <c r="K160" s="889">
        <f>IF(A160=2,Vergütungen_Original!H140,Vergütungen_Original!I140)</f>
        <v>6.83E-2</v>
      </c>
      <c r="L160" s="472">
        <v>1000</v>
      </c>
      <c r="M160" s="889">
        <f>IF(A160=2,Vergütungen_Original!K140,Vergütungen_Original!L140)</f>
        <v>5.3499999999999999E-2</v>
      </c>
      <c r="N160" s="473">
        <v>1000</v>
      </c>
      <c r="O160" s="889">
        <f>IF(A160=2,Vergütungen_Original!N140,Vergütungen_Original!O140)</f>
        <v>4.82E-2</v>
      </c>
      <c r="P160" s="473"/>
      <c r="Q160" s="889">
        <f>IF(A160=2,Vergütungen_Original!T140,Vergütungen_Original!U140)</f>
        <v>4.82E-2</v>
      </c>
      <c r="R160" s="1628">
        <f>IF(A160=2,Vergütungen_Original!AA140,Vergütungen_Original!Z140)</f>
        <v>100</v>
      </c>
      <c r="S160" s="1629"/>
      <c r="T160" s="1629"/>
      <c r="U160" s="1630"/>
      <c r="V160" s="60"/>
      <c r="W160" s="62"/>
      <c r="X160" s="60"/>
      <c r="Y160" s="62"/>
      <c r="Z160" s="61"/>
      <c r="AA160" s="61"/>
      <c r="AB160" s="53"/>
      <c r="AC160" s="74">
        <v>0</v>
      </c>
      <c r="AD160" s="53"/>
      <c r="AE160" s="74">
        <v>0</v>
      </c>
      <c r="AF160" s="53"/>
      <c r="AG160" s="74">
        <v>0</v>
      </c>
      <c r="AH160" s="1116">
        <v>300</v>
      </c>
      <c r="AI160" s="1115">
        <v>50</v>
      </c>
      <c r="AJ160" s="1103">
        <v>30</v>
      </c>
      <c r="AK160" s="1103">
        <v>30000</v>
      </c>
      <c r="AL160" s="54"/>
      <c r="AM160" s="54"/>
      <c r="AN160" s="54"/>
      <c r="AO160" s="10"/>
      <c r="AP160" s="10"/>
    </row>
    <row r="161" spans="1:42" s="6" customFormat="1" ht="15" customHeight="1" thickTop="1" thickBot="1">
      <c r="A161" s="881">
        <f>Kalkulation_Eigenstrom!$E$15</f>
        <v>1</v>
      </c>
      <c r="B161" s="8">
        <v>156</v>
      </c>
      <c r="C161" s="4">
        <v>4</v>
      </c>
      <c r="D161" s="5" t="s">
        <v>1042</v>
      </c>
      <c r="E161" s="17"/>
      <c r="F161" s="153">
        <v>0.19</v>
      </c>
      <c r="G161" s="27" t="s">
        <v>55</v>
      </c>
      <c r="H161" s="21">
        <v>10</v>
      </c>
      <c r="I161" s="886">
        <f>IF(A161=2,Vergütungen_Original!E141,Vergütungen_Original!F141)</f>
        <v>6.93E-2</v>
      </c>
      <c r="J161" s="36">
        <v>40</v>
      </c>
      <c r="K161" s="889">
        <f>IF(A161=2,Vergütungen_Original!H141,Vergütungen_Original!I141)</f>
        <v>6.7299999999999999E-2</v>
      </c>
      <c r="L161" s="472">
        <v>1000</v>
      </c>
      <c r="M161" s="889">
        <f>IF(A161=2,Vergütungen_Original!K141,Vergütungen_Original!L141)</f>
        <v>5.2699999999999997E-2</v>
      </c>
      <c r="N161" s="473">
        <v>1000</v>
      </c>
      <c r="O161" s="889">
        <f>IF(A161=2,Vergütungen_Original!N141,Vergütungen_Original!O141)</f>
        <v>4.7500000000000001E-2</v>
      </c>
      <c r="P161" s="473"/>
      <c r="Q161" s="889">
        <f>IF(A161=2,Vergütungen_Original!T141,Vergütungen_Original!U141)</f>
        <v>4.7500000000000001E-2</v>
      </c>
      <c r="R161" s="1628">
        <f>IF(A161=2,Vergütungen_Original!AA141,Vergütungen_Original!Z141)</f>
        <v>100</v>
      </c>
      <c r="S161" s="1629"/>
      <c r="T161" s="1629"/>
      <c r="U161" s="1630"/>
      <c r="V161" s="60"/>
      <c r="W161" s="62"/>
      <c r="X161" s="60"/>
      <c r="Y161" s="62"/>
      <c r="Z161" s="61"/>
      <c r="AA161" s="61"/>
      <c r="AB161" s="53"/>
      <c r="AC161" s="74">
        <v>0</v>
      </c>
      <c r="AD161" s="53"/>
      <c r="AE161" s="74">
        <v>0</v>
      </c>
      <c r="AF161" s="53"/>
      <c r="AG161" s="74">
        <v>0</v>
      </c>
      <c r="AH161" s="1116">
        <v>300</v>
      </c>
      <c r="AI161" s="1115">
        <v>50</v>
      </c>
      <c r="AJ161" s="1103">
        <v>30</v>
      </c>
      <c r="AK161" s="1103">
        <v>30000</v>
      </c>
      <c r="AL161" s="54"/>
      <c r="AM161" s="54"/>
      <c r="AN161" s="54"/>
      <c r="AO161" s="10"/>
      <c r="AP161" s="10"/>
    </row>
    <row r="162" spans="1:42" s="6" customFormat="1" ht="15" customHeight="1" thickTop="1" thickBot="1">
      <c r="A162" s="881">
        <f>Kalkulation_Eigenstrom!$E$15</f>
        <v>1</v>
      </c>
      <c r="B162" s="8">
        <v>157</v>
      </c>
      <c r="C162" s="4">
        <v>4</v>
      </c>
      <c r="D162" s="5" t="s">
        <v>1078</v>
      </c>
      <c r="E162" s="17"/>
      <c r="F162" s="153">
        <v>0.19</v>
      </c>
      <c r="G162" s="27" t="s">
        <v>55</v>
      </c>
      <c r="H162" s="21">
        <v>10</v>
      </c>
      <c r="I162" s="886">
        <f>IF(A162=2,Vergütungen_Original!E142,Vergütungen_Original!F142)</f>
        <v>6.83E-2</v>
      </c>
      <c r="J162" s="36">
        <v>40</v>
      </c>
      <c r="K162" s="889">
        <f>IF(A162=2,Vergütungen_Original!H142,Vergütungen_Original!I142)</f>
        <v>6.6299999999999998E-2</v>
      </c>
      <c r="L162" s="472">
        <v>1000</v>
      </c>
      <c r="M162" s="889">
        <f>IF(A162=2,Vergütungen_Original!K142,Vergütungen_Original!L142)</f>
        <v>5.1900000000000002E-2</v>
      </c>
      <c r="N162" s="473">
        <v>1000</v>
      </c>
      <c r="O162" s="889">
        <f>IF(A162=2,Vergütungen_Original!N142,Vergütungen_Original!O142)</f>
        <v>4.6699999999999998E-2</v>
      </c>
      <c r="P162" s="473"/>
      <c r="Q162" s="889">
        <f>IF(A162=2,Vergütungen_Original!T142,Vergütungen_Original!U142)</f>
        <v>4.6699999999999998E-2</v>
      </c>
      <c r="R162" s="1628">
        <f>IF(A162=2,Vergütungen_Original!AA142,Vergütungen_Original!Z142)</f>
        <v>100</v>
      </c>
      <c r="S162" s="1629"/>
      <c r="T162" s="1629"/>
      <c r="U162" s="1630"/>
      <c r="V162" s="60"/>
      <c r="W162" s="62"/>
      <c r="X162" s="60"/>
      <c r="Y162" s="62"/>
      <c r="Z162" s="61"/>
      <c r="AA162" s="61"/>
      <c r="AB162" s="53"/>
      <c r="AC162" s="74">
        <v>0</v>
      </c>
      <c r="AD162" s="53"/>
      <c r="AE162" s="74">
        <v>0</v>
      </c>
      <c r="AF162" s="53"/>
      <c r="AG162" s="74">
        <v>0</v>
      </c>
      <c r="AH162" s="1116">
        <v>300</v>
      </c>
      <c r="AI162" s="1115">
        <v>50</v>
      </c>
      <c r="AJ162" s="1103">
        <v>30</v>
      </c>
      <c r="AK162" s="1103">
        <v>30000</v>
      </c>
      <c r="AL162" s="54"/>
      <c r="AM162" s="54"/>
      <c r="AN162" s="54"/>
      <c r="AO162" s="10"/>
      <c r="AP162" s="10"/>
    </row>
    <row r="163" spans="1:42" s="6" customFormat="1" ht="15" customHeight="1" thickTop="1" thickBot="1">
      <c r="A163" s="881">
        <f>Kalkulation_Eigenstrom!$E$15</f>
        <v>1</v>
      </c>
      <c r="B163" s="8">
        <v>158</v>
      </c>
      <c r="C163" s="4">
        <v>4</v>
      </c>
      <c r="D163" s="5" t="s">
        <v>1218</v>
      </c>
      <c r="E163" s="17"/>
      <c r="F163" s="153">
        <v>0.19</v>
      </c>
      <c r="G163" s="27" t="s">
        <v>55</v>
      </c>
      <c r="H163" s="21">
        <v>10</v>
      </c>
      <c r="I163" s="886">
        <f>IF(A163=2,Vergütungen_Original!E143,Vergütungen_Original!F143)</f>
        <v>6.7299999999999999E-2</v>
      </c>
      <c r="J163" s="36">
        <v>40</v>
      </c>
      <c r="K163" s="889">
        <f>IF(A163=2,Vergütungen_Original!H143,Vergütungen_Original!I143)</f>
        <v>6.5299999999999997E-2</v>
      </c>
      <c r="L163" s="472">
        <v>1000</v>
      </c>
      <c r="M163" s="889">
        <f>IF(A163=2,Vergütungen_Original!K143,Vergütungen_Original!L143)</f>
        <v>5.11E-2</v>
      </c>
      <c r="N163" s="473">
        <v>1000</v>
      </c>
      <c r="O163" s="889">
        <f>IF(A163=2,Vergütungen_Original!N143,Vergütungen_Original!O143)</f>
        <v>4.5999999999999999E-2</v>
      </c>
      <c r="P163" s="473"/>
      <c r="Q163" s="889">
        <f>IF(A163=2,Vergütungen_Original!T143,Vergütungen_Original!U143)</f>
        <v>4.5999999999999999E-2</v>
      </c>
      <c r="R163" s="1628">
        <f>IF(A163=2,Vergütungen_Original!AA143,Vergütungen_Original!Z143)</f>
        <v>100</v>
      </c>
      <c r="S163" s="1629"/>
      <c r="T163" s="1629"/>
      <c r="U163" s="1630"/>
      <c r="V163" s="60"/>
      <c r="W163" s="62"/>
      <c r="X163" s="60"/>
      <c r="Y163" s="62"/>
      <c r="Z163" s="61"/>
      <c r="AA163" s="61"/>
      <c r="AB163" s="53"/>
      <c r="AC163" s="74">
        <v>0</v>
      </c>
      <c r="AD163" s="53"/>
      <c r="AE163" s="74">
        <v>0</v>
      </c>
      <c r="AF163" s="53"/>
      <c r="AG163" s="74">
        <v>0</v>
      </c>
      <c r="AH163" s="1116">
        <v>300</v>
      </c>
      <c r="AI163" s="1115">
        <v>50</v>
      </c>
      <c r="AJ163" s="1103">
        <v>30</v>
      </c>
      <c r="AK163" s="1103">
        <v>30000</v>
      </c>
      <c r="AL163" s="54"/>
      <c r="AM163" s="54"/>
      <c r="AN163" s="54"/>
      <c r="AO163" s="10"/>
      <c r="AP163" s="10"/>
    </row>
    <row r="164" spans="1:42" s="6" customFormat="1" ht="15" customHeight="1" thickTop="1" thickBot="1">
      <c r="A164" s="881">
        <f>Kalkulation_Eigenstrom!$E$15</f>
        <v>1</v>
      </c>
      <c r="B164" s="8">
        <v>159</v>
      </c>
      <c r="C164" s="4">
        <v>4</v>
      </c>
      <c r="D164" s="5" t="s">
        <v>1079</v>
      </c>
      <c r="E164" s="17"/>
      <c r="F164" s="153">
        <v>0.19</v>
      </c>
      <c r="G164" s="27" t="s">
        <v>55</v>
      </c>
      <c r="H164" s="21">
        <v>10</v>
      </c>
      <c r="I164" s="1097">
        <f>IF(A164=2,Vergütungen_Original!E144,Vergütungen_Original!F144)</f>
        <v>6.6299999999999998E-2</v>
      </c>
      <c r="J164" s="36">
        <v>40</v>
      </c>
      <c r="K164" s="889">
        <f>IF(A164=2,Vergütungen_Original!H144,Vergütungen_Original!I144)</f>
        <v>6.4399999999999999E-2</v>
      </c>
      <c r="L164" s="472">
        <v>1000</v>
      </c>
      <c r="M164" s="889">
        <f>IF(A164=2,Vergütungen_Original!K144,Vergütungen_Original!L144)</f>
        <v>5.0299999999999997E-2</v>
      </c>
      <c r="N164" s="473">
        <v>1000</v>
      </c>
      <c r="O164" s="889">
        <f>IF(A164=2,Vergütungen_Original!N144,Vergütungen_Original!O144)</f>
        <v>4.53E-2</v>
      </c>
      <c r="P164" s="473"/>
      <c r="Q164" s="889">
        <f>IF(A164=2,Vergütungen_Original!T144,Vergütungen_Original!U144)</f>
        <v>4.53E-2</v>
      </c>
      <c r="R164" s="1628">
        <f>IF(A164=2,Vergütungen_Original!AA144,Vergütungen_Original!Z144)</f>
        <v>100</v>
      </c>
      <c r="S164" s="1629"/>
      <c r="T164" s="1629"/>
      <c r="U164" s="1630"/>
      <c r="V164" s="60"/>
      <c r="W164" s="62"/>
      <c r="X164" s="60"/>
      <c r="Y164" s="62"/>
      <c r="Z164" s="61"/>
      <c r="AA164" s="61"/>
      <c r="AB164" s="53"/>
      <c r="AC164" s="74">
        <v>0</v>
      </c>
      <c r="AD164" s="53"/>
      <c r="AE164" s="74">
        <v>0</v>
      </c>
      <c r="AF164" s="53"/>
      <c r="AG164" s="74">
        <v>0</v>
      </c>
      <c r="AH164" s="1116">
        <v>300</v>
      </c>
      <c r="AI164" s="1115">
        <v>50</v>
      </c>
      <c r="AJ164" s="1103">
        <v>30</v>
      </c>
      <c r="AK164" s="1103">
        <v>30000</v>
      </c>
      <c r="AL164" s="54"/>
      <c r="AM164" s="54"/>
      <c r="AN164" s="54"/>
      <c r="AO164" s="10"/>
      <c r="AP164" s="10"/>
    </row>
    <row r="165" spans="1:42" s="6" customFormat="1" ht="15" customHeight="1" thickTop="1" thickBot="1">
      <c r="A165" s="881">
        <f>Kalkulation_Eigenstrom!$E$15</f>
        <v>1</v>
      </c>
      <c r="B165" s="8">
        <v>160</v>
      </c>
      <c r="C165" s="4">
        <v>4</v>
      </c>
      <c r="D165" s="5" t="s">
        <v>1080</v>
      </c>
      <c r="E165" s="17"/>
      <c r="F165" s="153">
        <v>0.19</v>
      </c>
      <c r="G165" s="27" t="s">
        <v>55</v>
      </c>
      <c r="H165" s="21">
        <v>10</v>
      </c>
      <c r="I165" s="1097">
        <f>IF(A165=2,Vergütungen_Original!E145,Vergütungen_Original!F145)</f>
        <v>6.5299999999999997E-2</v>
      </c>
      <c r="J165" s="36">
        <v>40</v>
      </c>
      <c r="K165" s="889">
        <f>IF(A165=2,Vergütungen_Original!H145,Vergütungen_Original!I145)</f>
        <v>6.3399999999999998E-2</v>
      </c>
      <c r="L165" s="472">
        <v>1000</v>
      </c>
      <c r="M165" s="889">
        <f>IF(A165=2,Vergütungen_Original!K145,Vergütungen_Original!L145)</f>
        <v>4.9599999999999998E-2</v>
      </c>
      <c r="N165" s="473">
        <v>1000</v>
      </c>
      <c r="O165" s="889">
        <f>IF(A165=2,Vergütungen_Original!N145,Vergütungen_Original!O145)</f>
        <v>4.4600000000000001E-2</v>
      </c>
      <c r="P165" s="473"/>
      <c r="Q165" s="889">
        <f>IF(A165=2,Vergütungen_Original!T145,Vergütungen_Original!U145)</f>
        <v>4.4600000000000001E-2</v>
      </c>
      <c r="R165" s="1628">
        <f>IF(A165=2,Vergütungen_Original!AA145,Vergütungen_Original!Z145)</f>
        <v>100</v>
      </c>
      <c r="S165" s="1629"/>
      <c r="T165" s="1629"/>
      <c r="U165" s="1630"/>
      <c r="V165" s="60"/>
      <c r="W165" s="62"/>
      <c r="X165" s="60"/>
      <c r="Y165" s="62"/>
      <c r="Z165" s="61"/>
      <c r="AA165" s="61"/>
      <c r="AB165" s="53"/>
      <c r="AC165" s="74">
        <v>0</v>
      </c>
      <c r="AD165" s="53"/>
      <c r="AE165" s="74">
        <v>0</v>
      </c>
      <c r="AF165" s="53"/>
      <c r="AG165" s="74">
        <v>0</v>
      </c>
      <c r="AH165" s="1116">
        <v>300</v>
      </c>
      <c r="AI165" s="1115">
        <v>50</v>
      </c>
      <c r="AJ165" s="1103">
        <v>30</v>
      </c>
      <c r="AK165" s="1103">
        <v>30000</v>
      </c>
      <c r="AL165" s="54"/>
      <c r="AM165" s="54"/>
      <c r="AN165" s="54"/>
      <c r="AO165" s="10"/>
      <c r="AP165" s="10"/>
    </row>
    <row r="166" spans="1:42" s="6" customFormat="1" ht="15" customHeight="1" thickTop="1" thickBot="1">
      <c r="A166" s="881">
        <f>Kalkulation_Eigenstrom!$E$15</f>
        <v>1</v>
      </c>
      <c r="B166" s="8">
        <v>161</v>
      </c>
      <c r="C166" s="4">
        <v>4</v>
      </c>
      <c r="D166" s="5" t="s">
        <v>1230</v>
      </c>
      <c r="E166" s="17"/>
      <c r="F166" s="153">
        <v>0.19</v>
      </c>
      <c r="G166" s="27" t="s">
        <v>55</v>
      </c>
      <c r="H166" s="21">
        <v>10</v>
      </c>
      <c r="I166" s="1097">
        <f>IF(A166=2,Vergütungen_Original!E146,Vergütungen_Original!F146)</f>
        <v>6.4299999999999996E-2</v>
      </c>
      <c r="J166" s="36">
        <v>40</v>
      </c>
      <c r="K166" s="889">
        <f>IF(A166=2,Vergütungen_Original!H146,Vergütungen_Original!I146)</f>
        <v>6.25E-2</v>
      </c>
      <c r="L166" s="472">
        <v>1000</v>
      </c>
      <c r="M166" s="889">
        <f>IF(A166=2,Vergütungen_Original!K146,Vergütungen_Original!L146)</f>
        <v>4.8800000000000003E-2</v>
      </c>
      <c r="N166" s="473">
        <v>1000</v>
      </c>
      <c r="O166" s="889">
        <f>IF(A166=2,Vergütungen_Original!N146,Vergütungen_Original!O146)</f>
        <v>4.3999999999999997E-2</v>
      </c>
      <c r="P166" s="473"/>
      <c r="Q166" s="889">
        <f>IF(A166=2,Vergütungen_Original!T146,Vergütungen_Original!U146)</f>
        <v>4.3999999999999997E-2</v>
      </c>
      <c r="R166" s="1628">
        <f>IF(A166=2,Vergütungen_Original!AA146,Vergütungen_Original!Z146)</f>
        <v>100</v>
      </c>
      <c r="S166" s="1629"/>
      <c r="T166" s="1629"/>
      <c r="U166" s="1630"/>
      <c r="V166" s="60"/>
      <c r="W166" s="62"/>
      <c r="X166" s="60"/>
      <c r="Y166" s="62"/>
      <c r="Z166" s="61"/>
      <c r="AA166" s="61"/>
      <c r="AB166" s="53"/>
      <c r="AC166" s="74">
        <v>0</v>
      </c>
      <c r="AD166" s="53"/>
      <c r="AE166" s="74">
        <v>0</v>
      </c>
      <c r="AF166" s="53"/>
      <c r="AG166" s="74">
        <v>0</v>
      </c>
      <c r="AH166" s="1116">
        <v>300</v>
      </c>
      <c r="AI166" s="1115">
        <v>50</v>
      </c>
      <c r="AJ166" s="1103">
        <v>30</v>
      </c>
      <c r="AK166" s="1103">
        <v>30000</v>
      </c>
      <c r="AL166" s="54"/>
      <c r="AM166" s="54"/>
      <c r="AN166" s="54"/>
      <c r="AO166" s="10"/>
      <c r="AP166" s="10"/>
    </row>
    <row r="167" spans="1:42" s="6" customFormat="1" ht="15" customHeight="1" thickTop="1" thickBot="1">
      <c r="A167" s="881">
        <f>Kalkulation_Eigenstrom!$E$15</f>
        <v>1</v>
      </c>
      <c r="B167" s="8">
        <v>162</v>
      </c>
      <c r="C167" s="4">
        <v>4</v>
      </c>
      <c r="D167" s="5" t="s">
        <v>1081</v>
      </c>
      <c r="E167" s="17"/>
      <c r="F167" s="153">
        <v>0.19</v>
      </c>
      <c r="G167" s="27" t="s">
        <v>55</v>
      </c>
      <c r="H167" s="21">
        <v>10</v>
      </c>
      <c r="I167" s="1097">
        <f>IF(A167=2,Vergütungen_Original!E147,Vergütungen_Original!F147)</f>
        <v>6.3399999999999998E-2</v>
      </c>
      <c r="J167" s="36">
        <v>40</v>
      </c>
      <c r="K167" s="889">
        <f>IF(A167=2,Vergütungen_Original!H147,Vergütungen_Original!I147)</f>
        <v>6.1499999999999999E-2</v>
      </c>
      <c r="L167" s="472">
        <v>1000</v>
      </c>
      <c r="M167" s="889">
        <f>IF(A167=2,Vergütungen_Original!K147,Vergütungen_Original!L147)</f>
        <v>4.8099999999999997E-2</v>
      </c>
      <c r="N167" s="473">
        <v>1000</v>
      </c>
      <c r="O167" s="889">
        <f>IF(A167=2,Vergütungen_Original!N147,Vergütungen_Original!O147)</f>
        <v>4.3299999999999998E-2</v>
      </c>
      <c r="P167" s="473"/>
      <c r="Q167" s="889">
        <f>IF(A167=2,Vergütungen_Original!T147,Vergütungen_Original!U147)</f>
        <v>4.3299999999999998E-2</v>
      </c>
      <c r="R167" s="1628">
        <f>IF(A167=2,Vergütungen_Original!AA147,Vergütungen_Original!Z147)</f>
        <v>100</v>
      </c>
      <c r="S167" s="1629"/>
      <c r="T167" s="1629"/>
      <c r="U167" s="1630"/>
      <c r="V167" s="60"/>
      <c r="W167" s="62"/>
      <c r="X167" s="60"/>
      <c r="Y167" s="62"/>
      <c r="Z167" s="61"/>
      <c r="AA167" s="61"/>
      <c r="AB167" s="53"/>
      <c r="AC167" s="74">
        <v>0</v>
      </c>
      <c r="AD167" s="53"/>
      <c r="AE167" s="74">
        <v>0</v>
      </c>
      <c r="AF167" s="53"/>
      <c r="AG167" s="74">
        <v>0</v>
      </c>
      <c r="AH167" s="1116">
        <v>300</v>
      </c>
      <c r="AI167" s="1115">
        <v>50</v>
      </c>
      <c r="AJ167" s="1103">
        <v>30</v>
      </c>
      <c r="AK167" s="1103">
        <v>30000</v>
      </c>
      <c r="AL167" s="54"/>
      <c r="AM167" s="54"/>
      <c r="AN167" s="54"/>
      <c r="AO167" s="10"/>
      <c r="AP167" s="10"/>
    </row>
    <row r="168" spans="1:42" s="6" customFormat="1" ht="15" customHeight="1" thickTop="1" thickBot="1">
      <c r="A168" s="881">
        <f>Kalkulation_Eigenstrom!$E$15</f>
        <v>1</v>
      </c>
      <c r="B168" s="8">
        <v>163</v>
      </c>
      <c r="C168" s="4">
        <v>4</v>
      </c>
      <c r="D168" s="5" t="s">
        <v>1082</v>
      </c>
      <c r="E168" s="17"/>
      <c r="F168" s="153">
        <v>0.19</v>
      </c>
      <c r="G168" s="27" t="s">
        <v>55</v>
      </c>
      <c r="H168" s="21">
        <v>10</v>
      </c>
      <c r="I168" s="1097">
        <f>IF(A168=2,Vergütungen_Original!E148,Vergütungen_Original!F148)</f>
        <v>6.2399999999999997E-2</v>
      </c>
      <c r="J168" s="36">
        <v>40</v>
      </c>
      <c r="K168" s="889">
        <f>IF(A168=2,Vergütungen_Original!H148,Vergütungen_Original!I148)</f>
        <v>6.0600000000000001E-2</v>
      </c>
      <c r="L168" s="472">
        <v>1000</v>
      </c>
      <c r="M168" s="889">
        <f>IF(A168=2,Vergütungen_Original!K148,Vergütungen_Original!L148)</f>
        <v>4.7399999999999998E-2</v>
      </c>
      <c r="N168" s="473">
        <v>1000</v>
      </c>
      <c r="O168" s="889">
        <f>IF(A168=2,Vergütungen_Original!N148,Vergütungen_Original!O148)</f>
        <v>4.2599999999999999E-2</v>
      </c>
      <c r="P168" s="473"/>
      <c r="Q168" s="889">
        <f>IF(A168=2,Vergütungen_Original!T148,Vergütungen_Original!U148)</f>
        <v>4.2599999999999999E-2</v>
      </c>
      <c r="R168" s="1628">
        <f>IF(A168=2,Vergütungen_Original!AA148,Vergütungen_Original!Z148)</f>
        <v>100</v>
      </c>
      <c r="S168" s="1629"/>
      <c r="T168" s="1629"/>
      <c r="U168" s="1630"/>
      <c r="V168" s="60"/>
      <c r="W168" s="62"/>
      <c r="X168" s="60"/>
      <c r="Y168" s="62"/>
      <c r="Z168" s="61"/>
      <c r="AA168" s="61"/>
      <c r="AB168" s="53"/>
      <c r="AC168" s="74">
        <v>0</v>
      </c>
      <c r="AD168" s="53"/>
      <c r="AE168" s="74">
        <v>0</v>
      </c>
      <c r="AF168" s="53"/>
      <c r="AG168" s="74">
        <v>0</v>
      </c>
      <c r="AH168" s="1116">
        <v>300</v>
      </c>
      <c r="AI168" s="1115">
        <v>50</v>
      </c>
      <c r="AJ168" s="1103">
        <v>30</v>
      </c>
      <c r="AK168" s="1103">
        <v>30000</v>
      </c>
      <c r="AL168" s="54"/>
      <c r="AM168" s="54"/>
      <c r="AN168" s="54"/>
      <c r="AO168" s="10"/>
      <c r="AP168" s="10"/>
    </row>
    <row r="169" spans="1:42" s="6" customFormat="1" ht="15" customHeight="1" thickTop="1" thickBot="1">
      <c r="A169" s="881">
        <f>Kalkulation_Eigenstrom!$E$15</f>
        <v>1</v>
      </c>
      <c r="B169" s="8">
        <v>161</v>
      </c>
      <c r="C169" s="4">
        <v>4</v>
      </c>
      <c r="D169" s="744" t="s">
        <v>1043</v>
      </c>
      <c r="E169" s="743"/>
      <c r="F169" s="153">
        <v>0.19</v>
      </c>
      <c r="G169" s="27" t="s">
        <v>54</v>
      </c>
      <c r="H169" s="21">
        <v>10</v>
      </c>
      <c r="I169" s="884"/>
      <c r="J169" s="36">
        <v>40</v>
      </c>
      <c r="K169" s="474"/>
      <c r="L169" s="472">
        <v>1000</v>
      </c>
      <c r="M169" s="474"/>
      <c r="N169" s="473">
        <v>1000</v>
      </c>
      <c r="O169" s="474"/>
      <c r="P169" s="473"/>
      <c r="Q169" s="474"/>
      <c r="R169" s="1628">
        <f>IF(A169=2,Vergütungen_Original!AA149,Vergütungen_Original!Z149)</f>
        <v>100</v>
      </c>
      <c r="S169" s="1629"/>
      <c r="T169" s="1629"/>
      <c r="U169" s="1630"/>
      <c r="V169" s="60"/>
      <c r="W169" s="62"/>
      <c r="X169" s="60"/>
      <c r="Y169" s="62"/>
      <c r="Z169" s="61"/>
      <c r="AA169" s="61"/>
      <c r="AB169" s="53"/>
      <c r="AC169" s="74">
        <v>0</v>
      </c>
      <c r="AD169" s="53"/>
      <c r="AE169" s="74">
        <v>0</v>
      </c>
      <c r="AF169" s="53"/>
      <c r="AG169" s="74">
        <v>0</v>
      </c>
      <c r="AH169" s="1116">
        <v>300</v>
      </c>
      <c r="AI169" s="1115">
        <v>50</v>
      </c>
      <c r="AJ169" s="1103">
        <v>30</v>
      </c>
      <c r="AK169" s="1103">
        <v>30000</v>
      </c>
      <c r="AL169" s="54"/>
      <c r="AM169" s="54"/>
      <c r="AN169" s="54"/>
      <c r="AO169" s="10"/>
      <c r="AP169" s="10"/>
    </row>
    <row r="170" spans="1:42" s="6" customFormat="1" ht="15" customHeight="1" thickTop="1" thickBot="1">
      <c r="A170" s="881">
        <f>Kalkulation_Eigenstrom!$E$15</f>
        <v>1</v>
      </c>
      <c r="B170" s="8">
        <v>165</v>
      </c>
      <c r="C170" s="4">
        <v>4</v>
      </c>
      <c r="D170" s="5" t="s">
        <v>1083</v>
      </c>
      <c r="E170" s="17"/>
      <c r="F170" s="153">
        <v>0.19</v>
      </c>
      <c r="G170" s="27" t="s">
        <v>54</v>
      </c>
      <c r="H170" s="21">
        <v>10</v>
      </c>
      <c r="I170" s="1097"/>
      <c r="J170" s="36">
        <v>40</v>
      </c>
      <c r="K170" s="889"/>
      <c r="L170" s="472">
        <v>1000</v>
      </c>
      <c r="M170" s="889"/>
      <c r="N170" s="473">
        <v>1000</v>
      </c>
      <c r="O170" s="889"/>
      <c r="P170" s="473"/>
      <c r="Q170" s="889"/>
      <c r="R170" s="1628">
        <f>IF(A170=2,Vergütungen_Original!AA150,Vergütungen_Original!Z150)</f>
        <v>100</v>
      </c>
      <c r="S170" s="1629"/>
      <c r="T170" s="1629"/>
      <c r="U170" s="1630"/>
      <c r="V170" s="60"/>
      <c r="W170" s="62"/>
      <c r="X170" s="60"/>
      <c r="Y170" s="62"/>
      <c r="Z170" s="61"/>
      <c r="AA170" s="61"/>
      <c r="AB170" s="53"/>
      <c r="AC170" s="74">
        <v>0</v>
      </c>
      <c r="AD170" s="53"/>
      <c r="AE170" s="74">
        <v>0</v>
      </c>
      <c r="AF170" s="53"/>
      <c r="AG170" s="74">
        <v>0</v>
      </c>
      <c r="AH170" s="1116">
        <v>300</v>
      </c>
      <c r="AI170" s="1115">
        <v>50</v>
      </c>
      <c r="AJ170" s="1103">
        <v>30</v>
      </c>
      <c r="AK170" s="1103">
        <v>30000</v>
      </c>
      <c r="AL170" s="54"/>
      <c r="AM170" s="54"/>
      <c r="AN170" s="54"/>
      <c r="AO170" s="10"/>
      <c r="AP170" s="10"/>
    </row>
    <row r="171" spans="1:42" s="6" customFormat="1" ht="15" customHeight="1" thickTop="1" thickBot="1">
      <c r="A171" s="881">
        <f>Kalkulation_Eigenstrom!$E$15</f>
        <v>1</v>
      </c>
      <c r="B171" s="8">
        <v>166</v>
      </c>
      <c r="C171" s="4">
        <v>4</v>
      </c>
      <c r="D171" s="5" t="s">
        <v>1084</v>
      </c>
      <c r="E171" s="17"/>
      <c r="F171" s="153">
        <v>0.19</v>
      </c>
      <c r="G171" s="27" t="s">
        <v>54</v>
      </c>
      <c r="H171" s="21">
        <v>10</v>
      </c>
      <c r="I171" s="1097"/>
      <c r="J171" s="36">
        <v>40</v>
      </c>
      <c r="K171" s="889"/>
      <c r="L171" s="472">
        <v>1000</v>
      </c>
      <c r="M171" s="889"/>
      <c r="N171" s="473">
        <v>1000</v>
      </c>
      <c r="O171" s="889"/>
      <c r="P171" s="473"/>
      <c r="Q171" s="889"/>
      <c r="R171" s="1628">
        <f>IF(A171=2,Vergütungen_Original!AA151,Vergütungen_Original!Z151)</f>
        <v>100</v>
      </c>
      <c r="S171" s="1629"/>
      <c r="T171" s="1629"/>
      <c r="U171" s="1630"/>
      <c r="V171" s="60"/>
      <c r="W171" s="62"/>
      <c r="X171" s="60"/>
      <c r="Y171" s="62"/>
      <c r="Z171" s="61"/>
      <c r="AA171" s="61"/>
      <c r="AB171" s="53"/>
      <c r="AC171" s="74">
        <v>0</v>
      </c>
      <c r="AD171" s="53"/>
      <c r="AE171" s="74">
        <v>0</v>
      </c>
      <c r="AF171" s="53"/>
      <c r="AG171" s="74">
        <v>0</v>
      </c>
      <c r="AH171" s="1116">
        <v>300</v>
      </c>
      <c r="AI171" s="1115">
        <v>50</v>
      </c>
      <c r="AJ171" s="1103">
        <v>30</v>
      </c>
      <c r="AK171" s="1103">
        <v>30000</v>
      </c>
      <c r="AL171" s="54"/>
      <c r="AM171" s="54"/>
      <c r="AN171" s="54"/>
      <c r="AO171" s="10"/>
      <c r="AP171" s="10"/>
    </row>
    <row r="172" spans="1:42" s="6" customFormat="1" ht="15" customHeight="1" thickTop="1" thickBot="1">
      <c r="A172" s="881">
        <f>Kalkulation_Eigenstrom!$E$15</f>
        <v>1</v>
      </c>
      <c r="B172" s="8">
        <v>167</v>
      </c>
      <c r="C172" s="4">
        <v>4</v>
      </c>
      <c r="D172" s="5" t="s">
        <v>1085</v>
      </c>
      <c r="E172" s="17"/>
      <c r="F172" s="153">
        <v>0.19</v>
      </c>
      <c r="G172" s="27" t="s">
        <v>54</v>
      </c>
      <c r="H172" s="21">
        <v>10</v>
      </c>
      <c r="I172" s="1097"/>
      <c r="J172" s="36">
        <v>40</v>
      </c>
      <c r="K172" s="889"/>
      <c r="L172" s="472">
        <v>1000</v>
      </c>
      <c r="M172" s="889"/>
      <c r="N172" s="473">
        <v>1000</v>
      </c>
      <c r="O172" s="889"/>
      <c r="P172" s="473"/>
      <c r="Q172" s="889"/>
      <c r="R172" s="1628">
        <f>IF(A172=2,Vergütungen_Original!AA152,Vergütungen_Original!Z152)</f>
        <v>100</v>
      </c>
      <c r="S172" s="1629"/>
      <c r="T172" s="1629"/>
      <c r="U172" s="1630"/>
      <c r="V172" s="60"/>
      <c r="W172" s="62"/>
      <c r="X172" s="60"/>
      <c r="Y172" s="62"/>
      <c r="Z172" s="61"/>
      <c r="AA172" s="61"/>
      <c r="AB172" s="53"/>
      <c r="AC172" s="74">
        <v>0</v>
      </c>
      <c r="AD172" s="53"/>
      <c r="AE172" s="74">
        <v>0</v>
      </c>
      <c r="AF172" s="53"/>
      <c r="AG172" s="74">
        <v>0</v>
      </c>
      <c r="AH172" s="1116">
        <v>300</v>
      </c>
      <c r="AI172" s="1115">
        <v>50</v>
      </c>
      <c r="AJ172" s="1103">
        <v>30</v>
      </c>
      <c r="AK172" s="1103">
        <v>30000</v>
      </c>
      <c r="AL172" s="54"/>
      <c r="AM172" s="54"/>
      <c r="AN172" s="54"/>
      <c r="AO172" s="10"/>
      <c r="AP172" s="10"/>
    </row>
    <row r="173" spans="1:42" s="6" customFormat="1" ht="15" customHeight="1" thickTop="1" thickBot="1">
      <c r="A173" s="881">
        <f>Kalkulation_Eigenstrom!$E$15</f>
        <v>1</v>
      </c>
      <c r="B173" s="8">
        <v>168</v>
      </c>
      <c r="C173" s="4">
        <v>4</v>
      </c>
      <c r="D173" s="5" t="s">
        <v>1086</v>
      </c>
      <c r="E173" s="17"/>
      <c r="F173" s="153">
        <v>0.19</v>
      </c>
      <c r="G173" s="27" t="s">
        <v>54</v>
      </c>
      <c r="H173" s="21">
        <v>10</v>
      </c>
      <c r="I173" s="1097"/>
      <c r="J173" s="36">
        <v>40</v>
      </c>
      <c r="K173" s="889"/>
      <c r="L173" s="472">
        <v>1000</v>
      </c>
      <c r="M173" s="889"/>
      <c r="N173" s="473">
        <v>1000</v>
      </c>
      <c r="O173" s="889"/>
      <c r="P173" s="473"/>
      <c r="Q173" s="889"/>
      <c r="R173" s="1628">
        <f>IF(A173=2,Vergütungen_Original!AA153,Vergütungen_Original!Z153)</f>
        <v>100</v>
      </c>
      <c r="S173" s="1629"/>
      <c r="T173" s="1629"/>
      <c r="U173" s="1630"/>
      <c r="V173" s="60"/>
      <c r="W173" s="62"/>
      <c r="X173" s="60"/>
      <c r="Y173" s="62"/>
      <c r="Z173" s="61"/>
      <c r="AA173" s="61"/>
      <c r="AB173" s="53"/>
      <c r="AC173" s="74">
        <v>0</v>
      </c>
      <c r="AD173" s="53"/>
      <c r="AE173" s="74">
        <v>0</v>
      </c>
      <c r="AF173" s="53"/>
      <c r="AG173" s="74">
        <v>0</v>
      </c>
      <c r="AH173" s="1116">
        <v>300</v>
      </c>
      <c r="AI173" s="1115">
        <v>50</v>
      </c>
      <c r="AJ173" s="1103">
        <v>30</v>
      </c>
      <c r="AK173" s="1103">
        <v>30000</v>
      </c>
      <c r="AL173" s="54"/>
      <c r="AM173" s="54"/>
      <c r="AN173" s="54"/>
      <c r="AO173" s="10"/>
      <c r="AP173" s="10"/>
    </row>
    <row r="174" spans="1:42" s="6" customFormat="1" ht="15" customHeight="1" thickTop="1" thickBot="1">
      <c r="A174" s="881">
        <f>Kalkulation_Eigenstrom!$E$15</f>
        <v>1</v>
      </c>
      <c r="B174" s="8">
        <v>169</v>
      </c>
      <c r="C174" s="4">
        <v>4</v>
      </c>
      <c r="D174" s="5" t="s">
        <v>1087</v>
      </c>
      <c r="E174" s="17"/>
      <c r="F174" s="153">
        <v>0.19</v>
      </c>
      <c r="G174" s="27" t="s">
        <v>54</v>
      </c>
      <c r="H174" s="21">
        <v>10</v>
      </c>
      <c r="I174" s="1097"/>
      <c r="J174" s="36">
        <v>40</v>
      </c>
      <c r="K174" s="889"/>
      <c r="L174" s="472">
        <v>1000</v>
      </c>
      <c r="M174" s="889"/>
      <c r="N174" s="473">
        <v>1000</v>
      </c>
      <c r="O174" s="889"/>
      <c r="P174" s="473"/>
      <c r="Q174" s="889"/>
      <c r="R174" s="1628">
        <f>IF(A174=2,Vergütungen_Original!AA154,Vergütungen_Original!Z154)</f>
        <v>100</v>
      </c>
      <c r="S174" s="1629"/>
      <c r="T174" s="1629"/>
      <c r="U174" s="1630"/>
      <c r="V174" s="60"/>
      <c r="W174" s="62"/>
      <c r="X174" s="60"/>
      <c r="Y174" s="62"/>
      <c r="Z174" s="61"/>
      <c r="AA174" s="61"/>
      <c r="AB174" s="53"/>
      <c r="AC174" s="74">
        <v>0</v>
      </c>
      <c r="AD174" s="53"/>
      <c r="AE174" s="74">
        <v>0</v>
      </c>
      <c r="AF174" s="53"/>
      <c r="AG174" s="74">
        <v>0</v>
      </c>
      <c r="AH174" s="1116">
        <v>300</v>
      </c>
      <c r="AI174" s="1115">
        <v>50</v>
      </c>
      <c r="AJ174" s="1103">
        <v>30</v>
      </c>
      <c r="AK174" s="1103">
        <v>30000</v>
      </c>
      <c r="AL174" s="54"/>
      <c r="AM174" s="54"/>
      <c r="AN174" s="54"/>
      <c r="AO174" s="10"/>
      <c r="AP174" s="10"/>
    </row>
    <row r="175" spans="1:42" s="6" customFormat="1" ht="15" customHeight="1" thickTop="1" thickBot="1">
      <c r="A175" s="881">
        <f>Kalkulation_Eigenstrom!$E$15</f>
        <v>1</v>
      </c>
      <c r="B175" s="8">
        <v>170</v>
      </c>
      <c r="C175" s="4">
        <v>4</v>
      </c>
      <c r="D175" s="5" t="s">
        <v>1088</v>
      </c>
      <c r="E175" s="17"/>
      <c r="F175" s="153">
        <v>0.19</v>
      </c>
      <c r="G175" s="27" t="s">
        <v>54</v>
      </c>
      <c r="H175" s="21">
        <v>10</v>
      </c>
      <c r="I175" s="1097"/>
      <c r="J175" s="36">
        <v>40</v>
      </c>
      <c r="K175" s="889"/>
      <c r="L175" s="472">
        <v>1000</v>
      </c>
      <c r="M175" s="889"/>
      <c r="N175" s="473">
        <v>1000</v>
      </c>
      <c r="O175" s="889"/>
      <c r="P175" s="473"/>
      <c r="Q175" s="889"/>
      <c r="R175" s="1628">
        <f>IF(A175=2,Vergütungen_Original!AA155,Vergütungen_Original!Z155)</f>
        <v>100</v>
      </c>
      <c r="S175" s="1629"/>
      <c r="T175" s="1629"/>
      <c r="U175" s="1630"/>
      <c r="V175" s="60"/>
      <c r="W175" s="62"/>
      <c r="X175" s="60"/>
      <c r="Y175" s="62"/>
      <c r="Z175" s="61"/>
      <c r="AA175" s="61"/>
      <c r="AB175" s="53"/>
      <c r="AC175" s="74">
        <v>0</v>
      </c>
      <c r="AD175" s="53"/>
      <c r="AE175" s="74">
        <v>0</v>
      </c>
      <c r="AF175" s="53"/>
      <c r="AG175" s="74">
        <v>0</v>
      </c>
      <c r="AH175" s="1116">
        <v>300</v>
      </c>
      <c r="AI175" s="1115">
        <v>50</v>
      </c>
      <c r="AJ175" s="1103">
        <v>30</v>
      </c>
      <c r="AK175" s="1103">
        <v>30000</v>
      </c>
      <c r="AL175" s="54"/>
      <c r="AM175" s="54"/>
      <c r="AN175" s="54"/>
      <c r="AO175" s="10"/>
      <c r="AP175" s="10"/>
    </row>
    <row r="176" spans="1:42" s="6" customFormat="1" ht="15" customHeight="1" thickTop="1" thickBot="1">
      <c r="A176" s="881">
        <f>Kalkulation_Eigenstrom!$E$15</f>
        <v>1</v>
      </c>
      <c r="B176" s="8">
        <v>171</v>
      </c>
      <c r="C176" s="4">
        <v>4</v>
      </c>
      <c r="D176" s="5" t="s">
        <v>1089</v>
      </c>
      <c r="E176" s="17"/>
      <c r="F176" s="153">
        <v>0.19</v>
      </c>
      <c r="G176" s="27" t="s">
        <v>54</v>
      </c>
      <c r="H176" s="21">
        <v>10</v>
      </c>
      <c r="I176" s="1097"/>
      <c r="J176" s="36">
        <v>40</v>
      </c>
      <c r="K176" s="889"/>
      <c r="L176" s="472">
        <v>1000</v>
      </c>
      <c r="M176" s="889"/>
      <c r="N176" s="473">
        <v>1000</v>
      </c>
      <c r="O176" s="889"/>
      <c r="P176" s="473"/>
      <c r="Q176" s="889"/>
      <c r="R176" s="1628">
        <f>IF(A176=2,Vergütungen_Original!AA156,Vergütungen_Original!Z156)</f>
        <v>100</v>
      </c>
      <c r="S176" s="1629"/>
      <c r="T176" s="1629"/>
      <c r="U176" s="1630"/>
      <c r="V176" s="60"/>
      <c r="W176" s="62"/>
      <c r="X176" s="60"/>
      <c r="Y176" s="62"/>
      <c r="Z176" s="61"/>
      <c r="AA176" s="61"/>
      <c r="AB176" s="53"/>
      <c r="AC176" s="74">
        <v>0</v>
      </c>
      <c r="AD176" s="53"/>
      <c r="AE176" s="74">
        <v>0</v>
      </c>
      <c r="AF176" s="53"/>
      <c r="AG176" s="74">
        <v>0</v>
      </c>
      <c r="AH176" s="1116">
        <v>300</v>
      </c>
      <c r="AI176" s="1115">
        <v>50</v>
      </c>
      <c r="AJ176" s="1103">
        <v>30</v>
      </c>
      <c r="AK176" s="1103">
        <v>30000</v>
      </c>
      <c r="AL176" s="54"/>
      <c r="AM176" s="54"/>
      <c r="AN176" s="54"/>
      <c r="AO176" s="10"/>
      <c r="AP176" s="10"/>
    </row>
    <row r="177" spans="1:42" s="6" customFormat="1" ht="15" customHeight="1" thickTop="1" thickBot="1">
      <c r="A177" s="881">
        <f>Kalkulation_Eigenstrom!$E$15</f>
        <v>1</v>
      </c>
      <c r="B177" s="8">
        <v>172</v>
      </c>
      <c r="C177" s="4">
        <v>4</v>
      </c>
      <c r="D177" s="5" t="s">
        <v>1090</v>
      </c>
      <c r="E177" s="17"/>
      <c r="F177" s="153">
        <v>0.19</v>
      </c>
      <c r="G177" s="27" t="s">
        <v>54</v>
      </c>
      <c r="H177" s="21">
        <v>10</v>
      </c>
      <c r="I177" s="1097"/>
      <c r="J177" s="36">
        <v>40</v>
      </c>
      <c r="K177" s="889"/>
      <c r="L177" s="472">
        <v>1000</v>
      </c>
      <c r="M177" s="889"/>
      <c r="N177" s="473">
        <v>1000</v>
      </c>
      <c r="O177" s="889"/>
      <c r="P177" s="473"/>
      <c r="Q177" s="889"/>
      <c r="R177" s="1628">
        <f>IF(A177=2,Vergütungen_Original!AA157,Vergütungen_Original!Z157)</f>
        <v>100</v>
      </c>
      <c r="S177" s="1629"/>
      <c r="T177" s="1629"/>
      <c r="U177" s="1630"/>
      <c r="V177" s="60"/>
      <c r="W177" s="62"/>
      <c r="X177" s="60"/>
      <c r="Y177" s="62"/>
      <c r="Z177" s="61"/>
      <c r="AA177" s="61"/>
      <c r="AB177" s="53"/>
      <c r="AC177" s="74">
        <v>0</v>
      </c>
      <c r="AD177" s="53"/>
      <c r="AE177" s="74">
        <v>0</v>
      </c>
      <c r="AF177" s="53"/>
      <c r="AG177" s="74">
        <v>0</v>
      </c>
      <c r="AH177" s="1116">
        <v>300</v>
      </c>
      <c r="AI177" s="1115">
        <v>50</v>
      </c>
      <c r="AJ177" s="1103">
        <v>30</v>
      </c>
      <c r="AK177" s="1103">
        <v>30000</v>
      </c>
      <c r="AL177" s="54"/>
      <c r="AM177" s="54"/>
      <c r="AN177" s="54"/>
      <c r="AO177" s="10"/>
      <c r="AP177" s="10"/>
    </row>
    <row r="178" spans="1:42" s="6" customFormat="1" ht="15" customHeight="1" thickTop="1" thickBot="1">
      <c r="A178" s="881">
        <f>Kalkulation_Eigenstrom!$E$15</f>
        <v>1</v>
      </c>
      <c r="B178" s="8">
        <v>173</v>
      </c>
      <c r="C178" s="4">
        <v>4</v>
      </c>
      <c r="D178" s="5" t="s">
        <v>1091</v>
      </c>
      <c r="E178" s="17"/>
      <c r="F178" s="153">
        <v>0.19</v>
      </c>
      <c r="G178" s="27" t="s">
        <v>54</v>
      </c>
      <c r="H178" s="21">
        <v>10</v>
      </c>
      <c r="I178" s="1097"/>
      <c r="J178" s="36">
        <v>40</v>
      </c>
      <c r="K178" s="889"/>
      <c r="L178" s="472">
        <v>1000</v>
      </c>
      <c r="M178" s="889"/>
      <c r="N178" s="473">
        <v>1000</v>
      </c>
      <c r="O178" s="889"/>
      <c r="P178" s="473"/>
      <c r="Q178" s="889"/>
      <c r="R178" s="1628">
        <f>IF(A178=2,Vergütungen_Original!AA158,Vergütungen_Original!Z158)</f>
        <v>100</v>
      </c>
      <c r="S178" s="1629"/>
      <c r="T178" s="1629"/>
      <c r="U178" s="1630"/>
      <c r="V178" s="60"/>
      <c r="W178" s="62"/>
      <c r="X178" s="60"/>
      <c r="Y178" s="62"/>
      <c r="Z178" s="61"/>
      <c r="AA178" s="61"/>
      <c r="AB178" s="53"/>
      <c r="AC178" s="74">
        <v>0</v>
      </c>
      <c r="AD178" s="53"/>
      <c r="AE178" s="74">
        <v>0</v>
      </c>
      <c r="AF178" s="53"/>
      <c r="AG178" s="74">
        <v>0</v>
      </c>
      <c r="AH178" s="1116">
        <v>300</v>
      </c>
      <c r="AI178" s="1115">
        <v>50</v>
      </c>
      <c r="AJ178" s="1103">
        <v>30</v>
      </c>
      <c r="AK178" s="1103">
        <v>30000</v>
      </c>
      <c r="AL178" s="54"/>
      <c r="AM178" s="54"/>
      <c r="AN178" s="54"/>
      <c r="AO178" s="10"/>
      <c r="AP178" s="10"/>
    </row>
    <row r="179" spans="1:42" s="6" customFormat="1" ht="15" customHeight="1" thickTop="1" thickBot="1">
      <c r="A179" s="881">
        <f>Kalkulation_Eigenstrom!$E$15</f>
        <v>1</v>
      </c>
      <c r="B179" s="8">
        <v>174</v>
      </c>
      <c r="C179" s="4">
        <v>4</v>
      </c>
      <c r="D179" s="5" t="s">
        <v>1092</v>
      </c>
      <c r="E179" s="17"/>
      <c r="F179" s="153">
        <v>0.19</v>
      </c>
      <c r="G179" s="27" t="s">
        <v>54</v>
      </c>
      <c r="H179" s="21">
        <v>10</v>
      </c>
      <c r="I179" s="1097"/>
      <c r="J179" s="36">
        <v>40</v>
      </c>
      <c r="K179" s="889"/>
      <c r="L179" s="472">
        <v>1000</v>
      </c>
      <c r="M179" s="889"/>
      <c r="N179" s="473">
        <v>1000</v>
      </c>
      <c r="O179" s="889"/>
      <c r="P179" s="473"/>
      <c r="Q179" s="889"/>
      <c r="R179" s="1628">
        <f>IF(A179=2,Vergütungen_Original!AA159,Vergütungen_Original!Z159)</f>
        <v>100</v>
      </c>
      <c r="S179" s="1629"/>
      <c r="T179" s="1629"/>
      <c r="U179" s="1630"/>
      <c r="V179" s="60"/>
      <c r="W179" s="62"/>
      <c r="X179" s="60"/>
      <c r="Y179" s="62"/>
      <c r="Z179" s="61"/>
      <c r="AA179" s="61"/>
      <c r="AB179" s="53"/>
      <c r="AC179" s="74">
        <v>0</v>
      </c>
      <c r="AD179" s="53"/>
      <c r="AE179" s="74">
        <v>0</v>
      </c>
      <c r="AF179" s="53"/>
      <c r="AG179" s="74">
        <v>0</v>
      </c>
      <c r="AH179" s="1116">
        <v>300</v>
      </c>
      <c r="AI179" s="1115">
        <v>50</v>
      </c>
      <c r="AJ179" s="1103">
        <v>30</v>
      </c>
      <c r="AK179" s="1103">
        <v>30000</v>
      </c>
      <c r="AL179" s="54"/>
      <c r="AM179" s="54"/>
      <c r="AN179" s="54"/>
      <c r="AO179" s="10"/>
      <c r="AP179" s="10"/>
    </row>
    <row r="180" spans="1:42" s="6" customFormat="1" ht="15" customHeight="1" thickTop="1" thickBot="1">
      <c r="A180" s="881">
        <f>Kalkulation_Eigenstrom!$E$15</f>
        <v>1</v>
      </c>
      <c r="B180" s="8">
        <v>175</v>
      </c>
      <c r="C180" s="4">
        <v>4</v>
      </c>
      <c r="D180" s="5" t="s">
        <v>1093</v>
      </c>
      <c r="E180" s="17"/>
      <c r="F180" s="153">
        <v>0.19</v>
      </c>
      <c r="G180" s="27" t="s">
        <v>54</v>
      </c>
      <c r="H180" s="21">
        <v>10</v>
      </c>
      <c r="I180" s="1097"/>
      <c r="J180" s="36">
        <v>40</v>
      </c>
      <c r="K180" s="889"/>
      <c r="L180" s="472">
        <v>1000</v>
      </c>
      <c r="M180" s="889"/>
      <c r="N180" s="473">
        <v>1000</v>
      </c>
      <c r="O180" s="889"/>
      <c r="P180" s="473"/>
      <c r="Q180" s="889"/>
      <c r="R180" s="1628">
        <f>IF(A180=2,Vergütungen_Original!AA160,Vergütungen_Original!Z160)</f>
        <v>100</v>
      </c>
      <c r="S180" s="1629"/>
      <c r="T180" s="1629"/>
      <c r="U180" s="1630"/>
      <c r="V180" s="60"/>
      <c r="W180" s="62"/>
      <c r="X180" s="60"/>
      <c r="Y180" s="62"/>
      <c r="Z180" s="61"/>
      <c r="AA180" s="61"/>
      <c r="AB180" s="53"/>
      <c r="AC180" s="74">
        <v>0</v>
      </c>
      <c r="AD180" s="53"/>
      <c r="AE180" s="74">
        <v>0</v>
      </c>
      <c r="AF180" s="53"/>
      <c r="AG180" s="74">
        <v>0</v>
      </c>
      <c r="AH180" s="1116">
        <v>300</v>
      </c>
      <c r="AI180" s="1115">
        <v>50</v>
      </c>
      <c r="AJ180" s="1103">
        <v>30</v>
      </c>
      <c r="AK180" s="1103">
        <v>30000</v>
      </c>
      <c r="AL180" s="54"/>
      <c r="AM180" s="54"/>
      <c r="AN180" s="54"/>
      <c r="AO180" s="10"/>
      <c r="AP180" s="10"/>
    </row>
    <row r="181" spans="1:42" s="6" customFormat="1" ht="15" customHeight="1" thickTop="1" thickBot="1">
      <c r="A181" s="881">
        <f>Kalkulation_Eigenstrom!$E$15</f>
        <v>1</v>
      </c>
      <c r="B181" s="8">
        <v>176</v>
      </c>
      <c r="C181" s="4">
        <v>4</v>
      </c>
      <c r="D181" s="5" t="s">
        <v>1094</v>
      </c>
      <c r="E181" s="17"/>
      <c r="F181" s="153">
        <v>0.19</v>
      </c>
      <c r="G181" s="27" t="s">
        <v>54</v>
      </c>
      <c r="H181" s="21">
        <v>10</v>
      </c>
      <c r="I181" s="1097"/>
      <c r="J181" s="36">
        <v>40</v>
      </c>
      <c r="K181" s="889"/>
      <c r="L181" s="472">
        <v>1000</v>
      </c>
      <c r="M181" s="889"/>
      <c r="N181" s="473">
        <v>1000</v>
      </c>
      <c r="O181" s="889"/>
      <c r="P181" s="473"/>
      <c r="Q181" s="889"/>
      <c r="R181" s="1628">
        <f>IF(A181=2,Vergütungen_Original!AA161,Vergütungen_Original!Z161)</f>
        <v>100</v>
      </c>
      <c r="S181" s="1629"/>
      <c r="T181" s="1629"/>
      <c r="U181" s="1630"/>
      <c r="V181" s="60"/>
      <c r="W181" s="62"/>
      <c r="X181" s="60"/>
      <c r="Y181" s="62"/>
      <c r="Z181" s="61"/>
      <c r="AA181" s="61"/>
      <c r="AB181" s="53"/>
      <c r="AC181" s="74">
        <v>0</v>
      </c>
      <c r="AD181" s="53"/>
      <c r="AE181" s="74">
        <v>0</v>
      </c>
      <c r="AF181" s="53"/>
      <c r="AG181" s="74">
        <v>0</v>
      </c>
      <c r="AH181" s="1116">
        <v>300</v>
      </c>
      <c r="AI181" s="1115">
        <v>50</v>
      </c>
      <c r="AJ181" s="1103">
        <v>30</v>
      </c>
      <c r="AK181" s="1103">
        <v>30000</v>
      </c>
      <c r="AL181" s="54"/>
      <c r="AM181" s="54"/>
      <c r="AN181" s="54"/>
      <c r="AO181" s="10"/>
      <c r="AP181" s="10"/>
    </row>
    <row r="182" spans="1:42" s="6" customFormat="1" ht="15" customHeight="1" thickTop="1" thickBot="1">
      <c r="A182" s="881">
        <f>Kalkulation_Eigenstrom!$E$15</f>
        <v>1</v>
      </c>
      <c r="B182" s="8">
        <v>177</v>
      </c>
      <c r="C182" s="4">
        <v>4</v>
      </c>
      <c r="D182" s="5" t="s">
        <v>1095</v>
      </c>
      <c r="E182" s="17"/>
      <c r="F182" s="153">
        <v>0.19</v>
      </c>
      <c r="G182" s="27" t="s">
        <v>54</v>
      </c>
      <c r="H182" s="21">
        <v>10</v>
      </c>
      <c r="I182" s="1097"/>
      <c r="J182" s="36">
        <v>40</v>
      </c>
      <c r="K182" s="889"/>
      <c r="L182" s="472">
        <v>1000</v>
      </c>
      <c r="M182" s="889"/>
      <c r="N182" s="473">
        <v>1000</v>
      </c>
      <c r="O182" s="889"/>
      <c r="P182" s="473"/>
      <c r="Q182" s="889"/>
      <c r="R182" s="1628">
        <f>IF(A182=2,Vergütungen_Original!AA162,Vergütungen_Original!Z162)</f>
        <v>100</v>
      </c>
      <c r="S182" s="1629"/>
      <c r="T182" s="1629"/>
      <c r="U182" s="1630"/>
      <c r="V182" s="60"/>
      <c r="W182" s="62"/>
      <c r="X182" s="60"/>
      <c r="Y182" s="62"/>
      <c r="Z182" s="61"/>
      <c r="AA182" s="61"/>
      <c r="AB182" s="53"/>
      <c r="AC182" s="74">
        <v>0</v>
      </c>
      <c r="AD182" s="53"/>
      <c r="AE182" s="74">
        <v>0</v>
      </c>
      <c r="AF182" s="53"/>
      <c r="AG182" s="74">
        <v>0</v>
      </c>
      <c r="AH182" s="1116">
        <v>300</v>
      </c>
      <c r="AI182" s="1115">
        <v>50</v>
      </c>
      <c r="AJ182" s="1103">
        <v>30</v>
      </c>
      <c r="AK182" s="1103">
        <v>30000</v>
      </c>
      <c r="AL182" s="54"/>
      <c r="AM182" s="54"/>
      <c r="AN182" s="54"/>
      <c r="AO182" s="10"/>
      <c r="AP182" s="10"/>
    </row>
    <row r="183" spans="1:42" s="6" customFormat="1" ht="15" customHeight="1" thickTop="1" thickBot="1">
      <c r="A183" s="881">
        <f>Kalkulation_Eigenstrom!$E$15</f>
        <v>1</v>
      </c>
      <c r="B183" s="8">
        <v>178</v>
      </c>
      <c r="C183" s="4">
        <v>4</v>
      </c>
      <c r="D183" s="5" t="s">
        <v>1096</v>
      </c>
      <c r="E183" s="17"/>
      <c r="F183" s="153">
        <v>0.19</v>
      </c>
      <c r="G183" s="27" t="s">
        <v>54</v>
      </c>
      <c r="H183" s="21">
        <v>10</v>
      </c>
      <c r="I183" s="1097"/>
      <c r="J183" s="36">
        <v>40</v>
      </c>
      <c r="K183" s="889"/>
      <c r="L183" s="472">
        <v>1000</v>
      </c>
      <c r="M183" s="889"/>
      <c r="N183" s="473">
        <v>1000</v>
      </c>
      <c r="O183" s="889"/>
      <c r="P183" s="473"/>
      <c r="Q183" s="889"/>
      <c r="R183" s="1628">
        <f>IF(A183=2,Vergütungen_Original!AA163,Vergütungen_Original!Z163)</f>
        <v>100</v>
      </c>
      <c r="S183" s="1629"/>
      <c r="T183" s="1629"/>
      <c r="U183" s="1630"/>
      <c r="V183" s="60"/>
      <c r="W183" s="62"/>
      <c r="X183" s="60"/>
      <c r="Y183" s="62"/>
      <c r="Z183" s="61"/>
      <c r="AA183" s="61"/>
      <c r="AB183" s="53"/>
      <c r="AC183" s="74">
        <v>0</v>
      </c>
      <c r="AD183" s="53"/>
      <c r="AE183" s="74">
        <v>0</v>
      </c>
      <c r="AF183" s="53"/>
      <c r="AG183" s="74">
        <v>0</v>
      </c>
      <c r="AH183" s="1116">
        <v>300</v>
      </c>
      <c r="AI183" s="1115">
        <v>50</v>
      </c>
      <c r="AJ183" s="1103">
        <v>30</v>
      </c>
      <c r="AK183" s="1103">
        <v>30000</v>
      </c>
      <c r="AL183" s="54"/>
      <c r="AM183" s="54"/>
      <c r="AN183" s="54"/>
      <c r="AO183" s="10"/>
      <c r="AP183" s="10"/>
    </row>
    <row r="184" spans="1:42" s="6" customFormat="1" ht="15" customHeight="1" thickTop="1" thickBot="1">
      <c r="A184" s="881">
        <f>Kalkulation_Eigenstrom!$E$15</f>
        <v>1</v>
      </c>
      <c r="B184" s="8">
        <v>179</v>
      </c>
      <c r="C184" s="4">
        <v>4</v>
      </c>
      <c r="D184" s="5" t="s">
        <v>1097</v>
      </c>
      <c r="E184" s="17"/>
      <c r="F184" s="153">
        <v>0.19</v>
      </c>
      <c r="G184" s="27" t="s">
        <v>54</v>
      </c>
      <c r="H184" s="21">
        <v>10</v>
      </c>
      <c r="I184" s="1097"/>
      <c r="J184" s="36">
        <v>40</v>
      </c>
      <c r="K184" s="889"/>
      <c r="L184" s="472">
        <v>1000</v>
      </c>
      <c r="M184" s="889"/>
      <c r="N184" s="473">
        <v>1000</v>
      </c>
      <c r="O184" s="889"/>
      <c r="P184" s="473"/>
      <c r="Q184" s="889"/>
      <c r="R184" s="1628">
        <f>IF(A184=2,Vergütungen_Original!AA164,Vergütungen_Original!Z164)</f>
        <v>100</v>
      </c>
      <c r="S184" s="1629"/>
      <c r="T184" s="1629"/>
      <c r="U184" s="1630"/>
      <c r="V184" s="60"/>
      <c r="W184" s="62"/>
      <c r="X184" s="60"/>
      <c r="Y184" s="62"/>
      <c r="Z184" s="61"/>
      <c r="AA184" s="61"/>
      <c r="AB184" s="53"/>
      <c r="AC184" s="74">
        <v>0</v>
      </c>
      <c r="AD184" s="53"/>
      <c r="AE184" s="74">
        <v>0</v>
      </c>
      <c r="AF184" s="53"/>
      <c r="AG184" s="74">
        <v>0</v>
      </c>
      <c r="AH184" s="1116">
        <v>300</v>
      </c>
      <c r="AI184" s="1115">
        <v>50</v>
      </c>
      <c r="AJ184" s="1103">
        <v>30</v>
      </c>
      <c r="AK184" s="1103">
        <v>30000</v>
      </c>
      <c r="AL184" s="54"/>
      <c r="AM184" s="54"/>
      <c r="AN184" s="54"/>
      <c r="AO184" s="10"/>
      <c r="AP184" s="10"/>
    </row>
    <row r="185" spans="1:42" s="6" customFormat="1" ht="15" customHeight="1" thickTop="1" thickBot="1">
      <c r="A185" s="881">
        <f>Kalkulation_Eigenstrom!$E$15</f>
        <v>1</v>
      </c>
      <c r="B185" s="8">
        <v>180</v>
      </c>
      <c r="C185" s="4">
        <v>4</v>
      </c>
      <c r="D185" s="5" t="s">
        <v>1098</v>
      </c>
      <c r="E185" s="17"/>
      <c r="F185" s="153">
        <v>0.19</v>
      </c>
      <c r="G185" s="27" t="s">
        <v>54</v>
      </c>
      <c r="H185" s="21">
        <v>10</v>
      </c>
      <c r="I185" s="1097"/>
      <c r="J185" s="36">
        <v>40</v>
      </c>
      <c r="K185" s="889"/>
      <c r="L185" s="472">
        <v>1000</v>
      </c>
      <c r="M185" s="889"/>
      <c r="N185" s="473">
        <v>1000</v>
      </c>
      <c r="O185" s="889"/>
      <c r="P185" s="473"/>
      <c r="Q185" s="889"/>
      <c r="R185" s="1628">
        <f>IF(A185=2,Vergütungen_Original!AA165,Vergütungen_Original!Z165)</f>
        <v>100</v>
      </c>
      <c r="S185" s="1629"/>
      <c r="T185" s="1629"/>
      <c r="U185" s="1630"/>
      <c r="V185" s="60"/>
      <c r="W185" s="62"/>
      <c r="X185" s="60"/>
      <c r="Y185" s="62"/>
      <c r="Z185" s="61"/>
      <c r="AA185" s="61"/>
      <c r="AB185" s="53"/>
      <c r="AC185" s="74">
        <v>0</v>
      </c>
      <c r="AD185" s="53"/>
      <c r="AE185" s="74">
        <v>0</v>
      </c>
      <c r="AF185" s="53"/>
      <c r="AG185" s="74">
        <v>0</v>
      </c>
      <c r="AH185" s="1116">
        <v>300</v>
      </c>
      <c r="AI185" s="1115">
        <v>50</v>
      </c>
      <c r="AJ185" s="1103">
        <v>30</v>
      </c>
      <c r="AK185" s="1103">
        <v>30000</v>
      </c>
      <c r="AL185" s="54"/>
      <c r="AM185" s="54"/>
      <c r="AN185" s="54"/>
      <c r="AO185" s="10"/>
      <c r="AP185" s="10"/>
    </row>
    <row r="186" spans="1:42" s="6" customFormat="1" ht="15" customHeight="1" thickTop="1" thickBot="1">
      <c r="A186" s="881">
        <f>Kalkulation_Eigenstrom!$E$15</f>
        <v>1</v>
      </c>
      <c r="B186" s="8">
        <v>181</v>
      </c>
      <c r="C186" s="4">
        <v>4</v>
      </c>
      <c r="D186" s="5"/>
      <c r="E186" s="17"/>
      <c r="F186" s="153"/>
      <c r="G186" s="27"/>
      <c r="H186" s="21"/>
      <c r="I186" s="1097"/>
      <c r="J186" s="36">
        <v>40</v>
      </c>
      <c r="K186" s="889"/>
      <c r="L186" s="472">
        <v>1000</v>
      </c>
      <c r="M186" s="889"/>
      <c r="N186" s="473"/>
      <c r="O186" s="889"/>
      <c r="P186" s="473"/>
      <c r="Q186" s="889"/>
      <c r="R186" s="1628">
        <f>IF(A186=2,Vergütungen_Original!AA166,Vergütungen_Original!Z166)</f>
        <v>0</v>
      </c>
      <c r="S186" s="1629"/>
      <c r="T186" s="1629"/>
      <c r="U186" s="1630"/>
      <c r="V186" s="60"/>
      <c r="W186" s="62"/>
      <c r="X186" s="60"/>
      <c r="Y186" s="62"/>
      <c r="Z186" s="61"/>
      <c r="AA186" s="61"/>
      <c r="AB186" s="53"/>
      <c r="AC186" s="74">
        <v>0</v>
      </c>
      <c r="AD186" s="53"/>
      <c r="AE186" s="74">
        <v>0</v>
      </c>
      <c r="AF186" s="53"/>
      <c r="AG186" s="74">
        <v>0</v>
      </c>
      <c r="AH186" s="1116">
        <v>300</v>
      </c>
      <c r="AI186" s="1115">
        <v>50</v>
      </c>
      <c r="AJ186" s="1103">
        <v>30</v>
      </c>
      <c r="AK186" s="1103">
        <v>30000</v>
      </c>
      <c r="AL186" s="54"/>
      <c r="AM186" s="54"/>
      <c r="AN186" s="54"/>
      <c r="AO186" s="10"/>
      <c r="AP186" s="10"/>
    </row>
    <row r="187" spans="1:42" s="6" customFormat="1" ht="15" customHeight="1" thickTop="1" thickBot="1">
      <c r="A187" s="881">
        <f>Kalkulation_Eigenstrom!$E$15</f>
        <v>1</v>
      </c>
      <c r="B187" s="8">
        <v>182</v>
      </c>
      <c r="C187" s="4">
        <v>4</v>
      </c>
      <c r="D187" s="5"/>
      <c r="E187" s="17"/>
      <c r="F187" s="153"/>
      <c r="G187" s="27"/>
      <c r="H187" s="21"/>
      <c r="I187" s="1097"/>
      <c r="J187" s="36"/>
      <c r="K187" s="889"/>
      <c r="L187" s="472"/>
      <c r="M187" s="889"/>
      <c r="N187" s="473"/>
      <c r="O187" s="889"/>
      <c r="P187" s="473"/>
      <c r="Q187" s="889"/>
      <c r="R187" s="1628">
        <f>IF(A187=2,Vergütungen_Original!AA167,Vergütungen_Original!Z167)</f>
        <v>0</v>
      </c>
      <c r="S187" s="1629"/>
      <c r="T187" s="1629"/>
      <c r="U187" s="1630"/>
      <c r="V187" s="60"/>
      <c r="W187" s="62"/>
      <c r="X187" s="60"/>
      <c r="Y187" s="62"/>
      <c r="Z187" s="61"/>
      <c r="AA187" s="61"/>
      <c r="AB187" s="53"/>
      <c r="AC187" s="74">
        <v>0</v>
      </c>
      <c r="AD187" s="53"/>
      <c r="AE187" s="74">
        <v>0</v>
      </c>
      <c r="AF187" s="53"/>
      <c r="AG187" s="74">
        <v>0</v>
      </c>
      <c r="AH187" s="1116">
        <v>300</v>
      </c>
      <c r="AI187" s="1115">
        <v>50</v>
      </c>
      <c r="AJ187" s="1103">
        <v>30</v>
      </c>
      <c r="AK187" s="1103">
        <v>30000</v>
      </c>
      <c r="AL187" s="54"/>
      <c r="AM187" s="54"/>
      <c r="AN187" s="54"/>
      <c r="AO187" s="10"/>
      <c r="AP187" s="10"/>
    </row>
    <row r="188" spans="1:42" s="6" customFormat="1" ht="15" customHeight="1" thickTop="1" thickBot="1">
      <c r="A188" s="881">
        <f>Kalkulation_Eigenstrom!$E$15</f>
        <v>1</v>
      </c>
      <c r="B188" s="8">
        <v>183</v>
      </c>
      <c r="C188" s="4">
        <v>4</v>
      </c>
      <c r="D188" s="5"/>
      <c r="E188" s="17"/>
      <c r="F188" s="153"/>
      <c r="G188" s="27"/>
      <c r="H188" s="21"/>
      <c r="I188" s="887"/>
      <c r="J188" s="36"/>
      <c r="K188" s="889"/>
      <c r="L188" s="472"/>
      <c r="M188" s="889"/>
      <c r="N188" s="473"/>
      <c r="O188" s="889"/>
      <c r="P188" s="473"/>
      <c r="Q188" s="889"/>
      <c r="R188" s="1628">
        <f>IF(A188=2,Vergütungen_Original!AA168,Vergütungen_Original!Z168)</f>
        <v>0</v>
      </c>
      <c r="S188" s="1629"/>
      <c r="T188" s="1629"/>
      <c r="U188" s="1630"/>
      <c r="V188" s="60"/>
      <c r="W188" s="62"/>
      <c r="X188" s="60"/>
      <c r="Y188" s="62"/>
      <c r="Z188" s="61"/>
      <c r="AA188" s="61"/>
      <c r="AB188" s="53"/>
      <c r="AC188" s="74">
        <v>0</v>
      </c>
      <c r="AD188" s="53"/>
      <c r="AE188" s="74">
        <v>0</v>
      </c>
      <c r="AF188" s="53"/>
      <c r="AG188" s="74">
        <v>0</v>
      </c>
      <c r="AH188" s="1116">
        <v>300</v>
      </c>
      <c r="AI188" s="1115">
        <v>50</v>
      </c>
      <c r="AJ188" s="1103">
        <v>30</v>
      </c>
      <c r="AK188" s="1103">
        <v>30000</v>
      </c>
      <c r="AL188" s="54"/>
      <c r="AM188" s="54"/>
      <c r="AN188" s="54"/>
      <c r="AO188" s="10"/>
      <c r="AP188" s="10"/>
    </row>
    <row r="189" spans="1:42" s="6" customFormat="1" ht="15" thickTop="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row>
    <row r="190" spans="1:42" s="6" customFormat="1" ht="14.25">
      <c r="A190" s="890">
        <v>1</v>
      </c>
      <c r="B190" s="891" t="s">
        <v>738</v>
      </c>
      <c r="C190" s="892"/>
      <c r="D190" s="892"/>
      <c r="E190" s="892"/>
      <c r="F190" s="892"/>
      <c r="G190" s="892"/>
      <c r="H190" s="892"/>
      <c r="I190" s="892"/>
      <c r="J190" s="892"/>
      <c r="K190" s="892"/>
      <c r="L190" s="892"/>
      <c r="M190" s="892"/>
      <c r="N190" s="892"/>
      <c r="O190" s="892"/>
      <c r="P190" s="892"/>
      <c r="Q190" s="892"/>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row>
    <row r="191" spans="1:42" s="6" customFormat="1" ht="14.25">
      <c r="A191" s="893">
        <v>2</v>
      </c>
      <c r="B191" s="891" t="s">
        <v>869</v>
      </c>
      <c r="C191" s="892"/>
      <c r="D191" s="892"/>
      <c r="E191" s="892"/>
      <c r="F191" s="892"/>
      <c r="G191" s="892"/>
      <c r="H191" s="892"/>
      <c r="I191" s="892"/>
      <c r="J191" s="892"/>
      <c r="K191" s="892"/>
      <c r="L191" s="892"/>
      <c r="M191" s="892"/>
      <c r="N191" s="892"/>
      <c r="O191" s="892"/>
      <c r="P191" s="892"/>
      <c r="Q191" s="892"/>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row>
    <row r="192" spans="1:42" s="6" customFormat="1" ht="14.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row>
    <row r="193" spans="1:42" s="6" customFormat="1" ht="14.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row>
    <row r="194" spans="1:42" s="6" customFormat="1" ht="14.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row>
    <row r="195" spans="1:42" s="6" customFormat="1" ht="14.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row>
    <row r="196" spans="1:42" s="6" customFormat="1" ht="14.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row>
    <row r="197" spans="1:42" s="6" customFormat="1" ht="14.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row>
    <row r="198" spans="1:42" s="6" customFormat="1" ht="14.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row>
    <row r="199" spans="1:42" s="6" customFormat="1" ht="14.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row>
    <row r="200" spans="1:42" s="6" customFormat="1" ht="14.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row>
    <row r="201" spans="1:42" s="6" customFormat="1" ht="14.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row>
    <row r="202" spans="1:42" s="6" customFormat="1" ht="14.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row>
    <row r="203" spans="1:42" s="6" customFormat="1" ht="14.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row>
    <row r="204" spans="1:42" s="6" customFormat="1" ht="14.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row>
    <row r="205" spans="1:42" s="6" customFormat="1" ht="14.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row>
    <row r="206" spans="1:42" s="6" customFormat="1" ht="14.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row>
    <row r="207" spans="1:42" s="6" customFormat="1" ht="14.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row>
    <row r="208" spans="1:42" s="6" customFormat="1" ht="14.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row>
    <row r="209" spans="1:42" s="6" customFormat="1" ht="14.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row>
    <row r="210" spans="1:42" s="6" customFormat="1" ht="14.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row>
    <row r="211" spans="1:42" s="6" customFormat="1" ht="14.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row>
    <row r="212" spans="1:42" s="6" customFormat="1" ht="14.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row>
    <row r="213" spans="1:42" s="6" customFormat="1" ht="14.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row>
    <row r="214" spans="1:42" s="6" customFormat="1" ht="14.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row>
    <row r="215" spans="1:42" s="6" customFormat="1" ht="14.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row>
    <row r="216" spans="1:42" s="6" customFormat="1" ht="14.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row>
    <row r="217" spans="1:42" s="6" customFormat="1" ht="14.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row>
    <row r="218" spans="1:42" s="6" customFormat="1" ht="14.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row>
    <row r="219" spans="1:42" s="6" customFormat="1" ht="14.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row>
    <row r="220" spans="1:42" s="6" customFormat="1" ht="14.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row>
    <row r="221" spans="1:42" s="6" customFormat="1" ht="14.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row>
    <row r="222" spans="1:42" s="6" customFormat="1" ht="14.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row>
    <row r="223" spans="1:42" s="6" customFormat="1" ht="14.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row>
    <row r="224" spans="1:42" s="6" customFormat="1" ht="14.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row>
    <row r="225" spans="1:42" s="6" customFormat="1" ht="14.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row>
    <row r="226" spans="1:42" s="6" customFormat="1" ht="14.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row>
    <row r="227" spans="1:42" s="6" customFormat="1" ht="14.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row>
    <row r="228" spans="1:42" s="6" customFormat="1" ht="14.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row>
    <row r="229" spans="1:42" s="6" customFormat="1" ht="14.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row>
    <row r="230" spans="1:42" s="6" customFormat="1" ht="14.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row>
    <row r="231" spans="1:42" s="6" customFormat="1" ht="14.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row>
    <row r="232" spans="1:42" s="6" customFormat="1" ht="14.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row>
    <row r="233" spans="1:42" s="6" customFormat="1" ht="14.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row>
    <row r="234" spans="1:42" s="6" customFormat="1" ht="14.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row>
    <row r="235" spans="1:42" s="6" customFormat="1" ht="14.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row>
  </sheetData>
  <sheetProtection algorithmName="SHA-512" hashValue="nuRNzwZo1tZLlpMuj4K1JH9ezxZo2WaTKq1xRRsVlzE/I3HVaNQ0PppnuVky3SknFRQ0o6kFJ6WGU7CbKKWIHw==" saltValue="BbwYqOafVhR+t1npOX7aZA==" spinCount="100000" sheet="1" objects="1" scenarios="1"/>
  <mergeCells count="156">
    <mergeCell ref="R182:U182"/>
    <mergeCell ref="R183:U183"/>
    <mergeCell ref="R184:U184"/>
    <mergeCell ref="R185:U185"/>
    <mergeCell ref="R186:U186"/>
    <mergeCell ref="R187:U187"/>
    <mergeCell ref="AH4:AI4"/>
    <mergeCell ref="AJ4:AK4"/>
    <mergeCell ref="R173:U173"/>
    <mergeCell ref="R174:U174"/>
    <mergeCell ref="R175:U175"/>
    <mergeCell ref="R176:U176"/>
    <mergeCell ref="R177:U177"/>
    <mergeCell ref="R178:U178"/>
    <mergeCell ref="R179:U179"/>
    <mergeCell ref="R180:U180"/>
    <mergeCell ref="R181:U181"/>
    <mergeCell ref="R164:U164"/>
    <mergeCell ref="R165:U165"/>
    <mergeCell ref="R166:U166"/>
    <mergeCell ref="R167:U167"/>
    <mergeCell ref="R168:U168"/>
    <mergeCell ref="R169:U169"/>
    <mergeCell ref="R170:U170"/>
    <mergeCell ref="R171:U171"/>
    <mergeCell ref="R172:U172"/>
    <mergeCell ref="R161:U161"/>
    <mergeCell ref="R117:U117"/>
    <mergeCell ref="R118:U118"/>
    <mergeCell ref="R119:U119"/>
    <mergeCell ref="R120:U120"/>
    <mergeCell ref="R121:U121"/>
    <mergeCell ref="R122:U122"/>
    <mergeCell ref="R124:U124"/>
    <mergeCell ref="R125:U125"/>
    <mergeCell ref="R126:U126"/>
    <mergeCell ref="R127:U127"/>
    <mergeCell ref="R128:U128"/>
    <mergeCell ref="R129:U129"/>
    <mergeCell ref="R135:U135"/>
    <mergeCell ref="R136:U136"/>
    <mergeCell ref="R137:U137"/>
    <mergeCell ref="R138:U138"/>
    <mergeCell ref="R139:U139"/>
    <mergeCell ref="R130:U130"/>
    <mergeCell ref="R131:U131"/>
    <mergeCell ref="R132:U132"/>
    <mergeCell ref="R133:U133"/>
    <mergeCell ref="R134:U134"/>
    <mergeCell ref="R145:U145"/>
    <mergeCell ref="AF5:AG5"/>
    <mergeCell ref="R45:U45"/>
    <mergeCell ref="R46:U46"/>
    <mergeCell ref="R47:U47"/>
    <mergeCell ref="R48:U48"/>
    <mergeCell ref="R49:U49"/>
    <mergeCell ref="H3:U3"/>
    <mergeCell ref="V3:Y3"/>
    <mergeCell ref="Z3:AA3"/>
    <mergeCell ref="AB3:AE3"/>
    <mergeCell ref="Z5:AA5"/>
    <mergeCell ref="AB5:AC5"/>
    <mergeCell ref="AD5:AE5"/>
    <mergeCell ref="H4:O4"/>
    <mergeCell ref="P4:Q4"/>
    <mergeCell ref="R61:U61"/>
    <mergeCell ref="R50:U50"/>
    <mergeCell ref="R51:U51"/>
    <mergeCell ref="R52:U52"/>
    <mergeCell ref="R53:U53"/>
    <mergeCell ref="R54:U54"/>
    <mergeCell ref="R55:U55"/>
    <mergeCell ref="R56:U56"/>
    <mergeCell ref="R57:U57"/>
    <mergeCell ref="R58:U58"/>
    <mergeCell ref="R59:U59"/>
    <mergeCell ref="R60:U60"/>
    <mergeCell ref="R73:U73"/>
    <mergeCell ref="R62:U62"/>
    <mergeCell ref="R63:U63"/>
    <mergeCell ref="R64:U64"/>
    <mergeCell ref="R65:U65"/>
    <mergeCell ref="R66:U66"/>
    <mergeCell ref="R67:U67"/>
    <mergeCell ref="R68:U68"/>
    <mergeCell ref="R69:U69"/>
    <mergeCell ref="R70:U70"/>
    <mergeCell ref="R71:U71"/>
    <mergeCell ref="R72:U72"/>
    <mergeCell ref="R85:U85"/>
    <mergeCell ref="R74:U74"/>
    <mergeCell ref="R75:U75"/>
    <mergeCell ref="R76:U76"/>
    <mergeCell ref="R77:U77"/>
    <mergeCell ref="R78:U78"/>
    <mergeCell ref="R79:U79"/>
    <mergeCell ref="R80:U80"/>
    <mergeCell ref="R81:U81"/>
    <mergeCell ref="R82:U82"/>
    <mergeCell ref="R83:U83"/>
    <mergeCell ref="R84:U84"/>
    <mergeCell ref="R97:U97"/>
    <mergeCell ref="R86:U86"/>
    <mergeCell ref="R87:U87"/>
    <mergeCell ref="R88:U88"/>
    <mergeCell ref="R89:U89"/>
    <mergeCell ref="R90:U90"/>
    <mergeCell ref="R91:U91"/>
    <mergeCell ref="R92:U92"/>
    <mergeCell ref="R93:U93"/>
    <mergeCell ref="R94:U94"/>
    <mergeCell ref="R95:U95"/>
    <mergeCell ref="R96:U96"/>
    <mergeCell ref="R162:U162"/>
    <mergeCell ref="R163:U163"/>
    <mergeCell ref="R188:U188"/>
    <mergeCell ref="R98:U98"/>
    <mergeCell ref="R99:U99"/>
    <mergeCell ref="R100:U100"/>
    <mergeCell ref="R101:U101"/>
    <mergeCell ref="R102:U102"/>
    <mergeCell ref="R103:U103"/>
    <mergeCell ref="R104:U104"/>
    <mergeCell ref="R105:U105"/>
    <mergeCell ref="R106:U106"/>
    <mergeCell ref="R107:U107"/>
    <mergeCell ref="R108:U108"/>
    <mergeCell ref="R109:U109"/>
    <mergeCell ref="R110:U110"/>
    <mergeCell ref="R111:U111"/>
    <mergeCell ref="R112:U112"/>
    <mergeCell ref="R113:U113"/>
    <mergeCell ref="R114:U114"/>
    <mergeCell ref="R115:U115"/>
    <mergeCell ref="R116:U116"/>
    <mergeCell ref="R123:U123"/>
    <mergeCell ref="R160:U160"/>
    <mergeCell ref="R146:U146"/>
    <mergeCell ref="R147:U147"/>
    <mergeCell ref="R148:U148"/>
    <mergeCell ref="R149:U149"/>
    <mergeCell ref="R140:U140"/>
    <mergeCell ref="R141:U141"/>
    <mergeCell ref="R142:U142"/>
    <mergeCell ref="R143:U143"/>
    <mergeCell ref="R144:U144"/>
    <mergeCell ref="R155:U155"/>
    <mergeCell ref="R156:U156"/>
    <mergeCell ref="R157:U157"/>
    <mergeCell ref="R158:U158"/>
    <mergeCell ref="R159:U159"/>
    <mergeCell ref="R150:U150"/>
    <mergeCell ref="R151:U151"/>
    <mergeCell ref="R152:U152"/>
    <mergeCell ref="R153:U153"/>
    <mergeCell ref="R154:U154"/>
  </mergeCells>
  <conditionalFormatting sqref="I6">
    <cfRule type="expression" dxfId="49" priority="99" stopIfTrue="1">
      <formula>G6="v"</formula>
    </cfRule>
  </conditionalFormatting>
  <conditionalFormatting sqref="I45">
    <cfRule type="expression" dxfId="48" priority="98" stopIfTrue="1">
      <formula>G45="v"</formula>
    </cfRule>
  </conditionalFormatting>
  <conditionalFormatting sqref="I7:I17">
    <cfRule type="expression" dxfId="47" priority="96" stopIfTrue="1">
      <formula>G7="v"</formula>
    </cfRule>
  </conditionalFormatting>
  <conditionalFormatting sqref="I18:I26">
    <cfRule type="expression" dxfId="46" priority="95" stopIfTrue="1">
      <formula>G18="v"</formula>
    </cfRule>
  </conditionalFormatting>
  <conditionalFormatting sqref="I27:I29">
    <cfRule type="expression" dxfId="45" priority="94" stopIfTrue="1">
      <formula>G27="v"</formula>
    </cfRule>
  </conditionalFormatting>
  <conditionalFormatting sqref="I30">
    <cfRule type="expression" dxfId="44" priority="93" stopIfTrue="1">
      <formula>G30="v"</formula>
    </cfRule>
  </conditionalFormatting>
  <conditionalFormatting sqref="I31:I41">
    <cfRule type="expression" dxfId="43" priority="92" stopIfTrue="1">
      <formula>G31="v"</formula>
    </cfRule>
  </conditionalFormatting>
  <conditionalFormatting sqref="I42:I44">
    <cfRule type="expression" dxfId="42" priority="91" stopIfTrue="1">
      <formula>G42="v"</formula>
    </cfRule>
  </conditionalFormatting>
  <conditionalFormatting sqref="A73">
    <cfRule type="expression" dxfId="41" priority="77" stopIfTrue="1">
      <formula>A73=2</formula>
    </cfRule>
  </conditionalFormatting>
  <conditionalFormatting sqref="A74">
    <cfRule type="expression" dxfId="40" priority="76" stopIfTrue="1">
      <formula>A74=2</formula>
    </cfRule>
  </conditionalFormatting>
  <conditionalFormatting sqref="A75">
    <cfRule type="expression" dxfId="39" priority="75" stopIfTrue="1">
      <formula>A75=2</formula>
    </cfRule>
  </conditionalFormatting>
  <conditionalFormatting sqref="A76">
    <cfRule type="expression" dxfId="38" priority="74" stopIfTrue="1">
      <formula>A76=2</formula>
    </cfRule>
  </conditionalFormatting>
  <conditionalFormatting sqref="A77">
    <cfRule type="expression" dxfId="37" priority="73" stopIfTrue="1">
      <formula>A77=2</formula>
    </cfRule>
  </conditionalFormatting>
  <conditionalFormatting sqref="A78">
    <cfRule type="expression" dxfId="36" priority="72" stopIfTrue="1">
      <formula>A78=2</formula>
    </cfRule>
  </conditionalFormatting>
  <conditionalFormatting sqref="A79">
    <cfRule type="expression" dxfId="35" priority="71" stopIfTrue="1">
      <formula>A79=2</formula>
    </cfRule>
  </conditionalFormatting>
  <conditionalFormatting sqref="A80">
    <cfRule type="expression" dxfId="34" priority="70" stopIfTrue="1">
      <formula>A80=2</formula>
    </cfRule>
  </conditionalFormatting>
  <conditionalFormatting sqref="A81">
    <cfRule type="expression" dxfId="33" priority="69" stopIfTrue="1">
      <formula>A81=2</formula>
    </cfRule>
  </conditionalFormatting>
  <conditionalFormatting sqref="A82">
    <cfRule type="expression" dxfId="32" priority="68" stopIfTrue="1">
      <formula>A82=2</formula>
    </cfRule>
  </conditionalFormatting>
  <conditionalFormatting sqref="A83">
    <cfRule type="expression" dxfId="31" priority="67" stopIfTrue="1">
      <formula>A83=2</formula>
    </cfRule>
  </conditionalFormatting>
  <conditionalFormatting sqref="A84">
    <cfRule type="expression" dxfId="30" priority="66" stopIfTrue="1">
      <formula>A84=2</formula>
    </cfRule>
  </conditionalFormatting>
  <conditionalFormatting sqref="A85">
    <cfRule type="expression" dxfId="29" priority="65" stopIfTrue="1">
      <formula>A85=2</formula>
    </cfRule>
  </conditionalFormatting>
  <conditionalFormatting sqref="A86">
    <cfRule type="expression" dxfId="28" priority="64" stopIfTrue="1">
      <formula>A86=2</formula>
    </cfRule>
  </conditionalFormatting>
  <conditionalFormatting sqref="A87">
    <cfRule type="expression" dxfId="27" priority="63" stopIfTrue="1">
      <formula>A87=2</formula>
    </cfRule>
  </conditionalFormatting>
  <conditionalFormatting sqref="A88">
    <cfRule type="expression" dxfId="26" priority="62" stopIfTrue="1">
      <formula>A88=2</formula>
    </cfRule>
  </conditionalFormatting>
  <conditionalFormatting sqref="A89">
    <cfRule type="expression" dxfId="25" priority="61" stopIfTrue="1">
      <formula>A89=2</formula>
    </cfRule>
  </conditionalFormatting>
  <conditionalFormatting sqref="A90">
    <cfRule type="expression" dxfId="24" priority="60" stopIfTrue="1">
      <formula>A90=2</formula>
    </cfRule>
  </conditionalFormatting>
  <conditionalFormatting sqref="A91">
    <cfRule type="expression" dxfId="23" priority="59" stopIfTrue="1">
      <formula>A91=2</formula>
    </cfRule>
  </conditionalFormatting>
  <conditionalFormatting sqref="A92">
    <cfRule type="expression" dxfId="22" priority="58" stopIfTrue="1">
      <formula>A92=2</formula>
    </cfRule>
  </conditionalFormatting>
  <conditionalFormatting sqref="A94">
    <cfRule type="expression" dxfId="21" priority="56" stopIfTrue="1">
      <formula>A94=2</formula>
    </cfRule>
  </conditionalFormatting>
  <conditionalFormatting sqref="A95">
    <cfRule type="expression" dxfId="20" priority="55" stopIfTrue="1">
      <formula>A95=2</formula>
    </cfRule>
  </conditionalFormatting>
  <conditionalFormatting sqref="A96">
    <cfRule type="expression" dxfId="19" priority="54" stopIfTrue="1">
      <formula>A96=2</formula>
    </cfRule>
  </conditionalFormatting>
  <conditionalFormatting sqref="A97">
    <cfRule type="expression" dxfId="18" priority="53" stopIfTrue="1">
      <formula>A97=2</formula>
    </cfRule>
  </conditionalFormatting>
  <conditionalFormatting sqref="A98">
    <cfRule type="expression" dxfId="17" priority="52" stopIfTrue="1">
      <formula>A98=2</formula>
    </cfRule>
  </conditionalFormatting>
  <conditionalFormatting sqref="A99">
    <cfRule type="expression" dxfId="16" priority="51" stopIfTrue="1">
      <formula>A99=2</formula>
    </cfRule>
  </conditionalFormatting>
  <conditionalFormatting sqref="A100 A104 A108 A110 A114 A116 A120 A122 A160 A188">
    <cfRule type="expression" dxfId="15" priority="50" stopIfTrue="1">
      <formula>A100=2</formula>
    </cfRule>
  </conditionalFormatting>
  <conditionalFormatting sqref="A101 A103 A105 A107 A111 A113 A115 A117 A119 A121 A161 A164:A165 A123:A132 A137:A150 A134:A135 A152:A159 A170:A187 A167:A168">
    <cfRule type="expression" dxfId="14" priority="49" stopIfTrue="1">
      <formula>A101=2</formula>
    </cfRule>
  </conditionalFormatting>
  <conditionalFormatting sqref="A93">
    <cfRule type="expression" dxfId="13" priority="22" stopIfTrue="1">
      <formula>A93=2</formula>
    </cfRule>
  </conditionalFormatting>
  <conditionalFormatting sqref="A102">
    <cfRule type="expression" dxfId="12" priority="13" stopIfTrue="1">
      <formula>A102=2</formula>
    </cfRule>
  </conditionalFormatting>
  <conditionalFormatting sqref="A106">
    <cfRule type="expression" dxfId="11" priority="12" stopIfTrue="1">
      <formula>A106=2</formula>
    </cfRule>
  </conditionalFormatting>
  <conditionalFormatting sqref="A109">
    <cfRule type="expression" dxfId="10" priority="11" stopIfTrue="1">
      <formula>A109=2</formula>
    </cfRule>
  </conditionalFormatting>
  <conditionalFormatting sqref="A112">
    <cfRule type="expression" dxfId="9" priority="10" stopIfTrue="1">
      <formula>A112=2</formula>
    </cfRule>
  </conditionalFormatting>
  <conditionalFormatting sqref="A118">
    <cfRule type="expression" dxfId="8" priority="9" stopIfTrue="1">
      <formula>A118=2</formula>
    </cfRule>
  </conditionalFormatting>
  <conditionalFormatting sqref="A136">
    <cfRule type="expression" dxfId="7" priority="8" stopIfTrue="1">
      <formula>A136=2</formula>
    </cfRule>
  </conditionalFormatting>
  <conditionalFormatting sqref="A133">
    <cfRule type="expression" dxfId="6" priority="7" stopIfTrue="1">
      <formula>A133=2</formula>
    </cfRule>
  </conditionalFormatting>
  <conditionalFormatting sqref="A162:A165 A170:A188 A167:A168">
    <cfRule type="expression" dxfId="5" priority="6" stopIfTrue="1">
      <formula>A162=2</formula>
    </cfRule>
  </conditionalFormatting>
  <conditionalFormatting sqref="A151">
    <cfRule type="expression" dxfId="4" priority="5" stopIfTrue="1">
      <formula>A151=2</formula>
    </cfRule>
  </conditionalFormatting>
  <conditionalFormatting sqref="A169">
    <cfRule type="expression" dxfId="3" priority="4" stopIfTrue="1">
      <formula>A169=2</formula>
    </cfRule>
  </conditionalFormatting>
  <conditionalFormatting sqref="A169">
    <cfRule type="expression" dxfId="2" priority="3" stopIfTrue="1">
      <formula>A169=2</formula>
    </cfRule>
  </conditionalFormatting>
  <conditionalFormatting sqref="A166">
    <cfRule type="expression" dxfId="1" priority="2" stopIfTrue="1">
      <formula>A166=2</formula>
    </cfRule>
  </conditionalFormatting>
  <conditionalFormatting sqref="A166">
    <cfRule type="expression" dxfId="0" priority="1" stopIfTrue="1">
      <formula>A166=2</formula>
    </cfRule>
  </conditionalFormatting>
  <pageMargins left="0.7" right="0.7" top="0.78740157499999996" bottom="0.78740157499999996"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09"/>
  <sheetViews>
    <sheetView topLeftCell="A124" zoomScale="90" zoomScaleNormal="90" workbookViewId="0">
      <selection activeCell="D149" sqref="D149"/>
    </sheetView>
  </sheetViews>
  <sheetFormatPr baseColWidth="10" defaultColWidth="11" defaultRowHeight="12.75"/>
  <cols>
    <col min="1" max="1" width="2.5703125" style="1080" customWidth="1"/>
    <col min="2" max="2" width="2.28515625" style="1080" customWidth="1"/>
    <col min="3" max="3" width="18.7109375" style="919" customWidth="1"/>
    <col min="4" max="4" width="4.5703125" style="919" customWidth="1"/>
    <col min="5" max="6" width="8.5703125" style="919" customWidth="1"/>
    <col min="7" max="7" width="4.5703125" style="919" customWidth="1"/>
    <col min="8" max="9" width="8.5703125" style="919" customWidth="1"/>
    <col min="10" max="10" width="4.5703125" style="919" customWidth="1"/>
    <col min="11" max="12" width="8.5703125" style="919" customWidth="1"/>
    <col min="13" max="13" width="4.5703125" style="919" customWidth="1"/>
    <col min="14" max="15" width="8.5703125" style="919" customWidth="1"/>
    <col min="16" max="16" width="1.5703125" style="919" customWidth="1"/>
    <col min="17" max="17" width="8.5703125" style="919" customWidth="1"/>
    <col min="18" max="18" width="1.5703125" style="919" customWidth="1"/>
    <col min="19" max="19" width="4.5703125" style="919" customWidth="1"/>
    <col min="20" max="21" width="8.5703125" style="919" customWidth="1"/>
    <col min="22" max="22" width="1.5703125" style="919" customWidth="1"/>
    <col min="23" max="23" width="4.5703125" style="919" customWidth="1"/>
    <col min="24" max="24" width="8.5703125" style="919" customWidth="1"/>
    <col min="25" max="25" width="1.5703125" style="919" customWidth="1"/>
    <col min="26" max="26" width="8.5703125" style="1081" customWidth="1"/>
    <col min="27" max="27" width="6.5703125" style="919" customWidth="1"/>
    <col min="28" max="30" width="8.5703125" style="919" customWidth="1"/>
    <col min="31" max="36" width="6.5703125" style="919" customWidth="1"/>
    <col min="37" max="37" width="1.7109375" style="919" customWidth="1"/>
    <col min="38" max="39" width="10.7109375" style="919" customWidth="1"/>
    <col min="40" max="40" width="2.7109375" style="919" customWidth="1"/>
    <col min="41" max="16384" width="11" style="919"/>
  </cols>
  <sheetData>
    <row r="1" spans="1:57" ht="12.2" customHeight="1" thickBot="1">
      <c r="A1" s="882"/>
      <c r="B1" s="882"/>
      <c r="C1" s="882"/>
      <c r="D1" s="882"/>
      <c r="E1" s="882"/>
      <c r="F1" s="882"/>
      <c r="G1" s="882"/>
      <c r="H1" s="882"/>
      <c r="I1" s="882"/>
      <c r="J1" s="882"/>
      <c r="K1" s="882"/>
      <c r="L1" s="882"/>
      <c r="M1" s="882"/>
      <c r="N1" s="882"/>
      <c r="O1" s="882"/>
      <c r="P1" s="882"/>
      <c r="Q1" s="882"/>
      <c r="R1" s="882"/>
      <c r="S1" s="882"/>
      <c r="T1" s="882"/>
      <c r="U1" s="882"/>
      <c r="V1" s="882"/>
      <c r="W1" s="882"/>
      <c r="X1" s="882"/>
      <c r="Y1" s="882"/>
      <c r="Z1" s="920"/>
      <c r="AA1" s="882"/>
      <c r="AB1" s="882"/>
      <c r="AC1" s="882"/>
      <c r="AD1" s="882"/>
      <c r="AE1" s="882"/>
      <c r="AF1" s="882"/>
      <c r="AG1" s="882"/>
      <c r="AH1" s="882"/>
      <c r="AI1" s="882"/>
      <c r="AJ1" s="882"/>
      <c r="AK1" s="882"/>
      <c r="AL1" s="921"/>
      <c r="AM1" s="921"/>
      <c r="AN1" s="921"/>
      <c r="AO1" s="921"/>
      <c r="AP1" s="921"/>
      <c r="AQ1" s="921"/>
      <c r="AR1" s="921"/>
      <c r="AS1" s="921"/>
      <c r="AT1" s="921"/>
      <c r="AU1" s="921"/>
      <c r="AV1" s="921"/>
      <c r="AW1" s="921"/>
      <c r="AX1" s="921"/>
      <c r="AY1" s="921"/>
      <c r="AZ1" s="921"/>
      <c r="BA1" s="921"/>
      <c r="BB1" s="921"/>
      <c r="BC1" s="921"/>
      <c r="BD1" s="921"/>
      <c r="BE1" s="921"/>
    </row>
    <row r="2" spans="1:57" ht="18.75" thickBot="1">
      <c r="A2" s="882"/>
      <c r="B2" s="882"/>
      <c r="C2" s="922" t="s">
        <v>739</v>
      </c>
      <c r="D2" s="921"/>
      <c r="E2" s="921"/>
      <c r="F2" s="921"/>
      <c r="G2" s="921"/>
      <c r="H2" s="921"/>
      <c r="I2" s="921"/>
      <c r="J2" s="921"/>
      <c r="K2" s="921"/>
      <c r="L2" s="921"/>
      <c r="M2" s="921"/>
      <c r="N2" s="921"/>
      <c r="O2" s="921"/>
      <c r="P2" s="921"/>
      <c r="Q2" s="921"/>
      <c r="R2" s="921"/>
      <c r="S2" s="921"/>
      <c r="T2" s="921"/>
      <c r="U2" s="921"/>
      <c r="V2" s="1730" t="s">
        <v>740</v>
      </c>
      <c r="W2" s="1731"/>
      <c r="X2" s="1731"/>
      <c r="Y2" s="1731"/>
      <c r="Z2" s="1732"/>
      <c r="AA2" s="882"/>
      <c r="AB2" s="882"/>
      <c r="AC2" s="921"/>
      <c r="AD2" s="921"/>
      <c r="AE2" s="921"/>
      <c r="AF2" s="921"/>
      <c r="AG2" s="921"/>
      <c r="AH2" s="921"/>
      <c r="AI2" s="921"/>
      <c r="AJ2" s="921"/>
      <c r="AK2" s="921"/>
      <c r="AL2" s="921"/>
      <c r="AM2" s="921"/>
      <c r="AN2" s="921"/>
      <c r="AO2" s="1098"/>
      <c r="AP2" s="1099" t="s">
        <v>1129</v>
      </c>
      <c r="AQ2" s="921"/>
      <c r="AR2" s="921"/>
      <c r="AS2" s="921"/>
      <c r="AT2" s="921"/>
      <c r="AU2" s="921"/>
      <c r="AV2" s="921"/>
      <c r="AW2" s="921"/>
      <c r="AX2" s="921"/>
      <c r="AY2" s="921"/>
      <c r="AZ2" s="921"/>
      <c r="BA2" s="921"/>
      <c r="BB2" s="921"/>
      <c r="BC2" s="921"/>
      <c r="BD2" s="921"/>
      <c r="BE2" s="921"/>
    </row>
    <row r="3" spans="1:57" ht="12.95" customHeight="1">
      <c r="A3" s="882"/>
      <c r="B3" s="882"/>
      <c r="C3" s="923"/>
      <c r="D3" s="923"/>
      <c r="E3" s="923"/>
      <c r="F3" s="921"/>
      <c r="G3" s="921"/>
      <c r="H3" s="921"/>
      <c r="I3" s="921"/>
      <c r="J3" s="921"/>
      <c r="K3" s="921"/>
      <c r="L3" s="921"/>
      <c r="M3" s="921"/>
      <c r="N3" s="921"/>
      <c r="O3" s="921"/>
      <c r="P3" s="921"/>
      <c r="Q3" s="921"/>
      <c r="R3" s="921"/>
      <c r="S3" s="921"/>
      <c r="T3" s="921"/>
      <c r="U3" s="921"/>
      <c r="V3" s="921"/>
      <c r="W3" s="921"/>
      <c r="X3" s="921"/>
      <c r="Y3" s="921"/>
      <c r="Z3" s="921"/>
      <c r="AA3" s="921"/>
      <c r="AB3" s="921"/>
      <c r="AC3" s="921"/>
      <c r="AD3" s="921"/>
      <c r="AE3" s="921"/>
      <c r="AF3" s="921"/>
      <c r="AG3" s="921"/>
      <c r="AH3" s="921"/>
      <c r="AI3" s="921"/>
      <c r="AJ3" s="921"/>
      <c r="AK3" s="921"/>
      <c r="AL3" s="921"/>
      <c r="AM3" s="921"/>
      <c r="AN3" s="921"/>
      <c r="AO3" s="1098"/>
      <c r="AP3" s="1099" t="s">
        <v>1130</v>
      </c>
      <c r="AQ3" s="921"/>
      <c r="AR3" s="921"/>
      <c r="AS3" s="921"/>
      <c r="AT3" s="921"/>
      <c r="AU3" s="921"/>
      <c r="AV3" s="921"/>
      <c r="AW3" s="921"/>
      <c r="AX3" s="921"/>
      <c r="AY3" s="921"/>
      <c r="AZ3" s="921"/>
      <c r="BA3" s="921"/>
      <c r="BB3" s="921"/>
      <c r="BC3" s="921"/>
      <c r="BD3" s="921"/>
      <c r="BE3" s="921"/>
    </row>
    <row r="4" spans="1:57" ht="12.95" customHeight="1">
      <c r="A4" s="882"/>
      <c r="B4" s="882"/>
      <c r="C4" s="923" t="s">
        <v>741</v>
      </c>
      <c r="D4" s="923" t="s">
        <v>742</v>
      </c>
      <c r="E4" s="923"/>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21"/>
      <c r="AO4" s="1098"/>
      <c r="AP4" s="1099" t="s">
        <v>1131</v>
      </c>
      <c r="AQ4" s="921"/>
      <c r="AR4" s="921"/>
      <c r="AS4" s="921"/>
      <c r="AT4" s="921"/>
      <c r="AU4" s="921"/>
      <c r="AV4" s="921"/>
      <c r="AW4" s="921"/>
      <c r="AX4" s="921"/>
      <c r="AY4" s="921"/>
      <c r="AZ4" s="921"/>
      <c r="BA4" s="921"/>
      <c r="BB4" s="921"/>
      <c r="BC4" s="921"/>
      <c r="BD4" s="921"/>
      <c r="BE4" s="921"/>
    </row>
    <row r="5" spans="1:57">
      <c r="A5" s="882"/>
      <c r="B5" s="882"/>
      <c r="C5" s="923"/>
      <c r="D5" s="923" t="s">
        <v>743</v>
      </c>
      <c r="E5" s="923"/>
      <c r="F5" s="921"/>
      <c r="G5" s="921"/>
      <c r="H5" s="921"/>
      <c r="I5" s="921"/>
      <c r="J5" s="921"/>
      <c r="K5" s="921"/>
      <c r="L5" s="921"/>
      <c r="M5" s="921"/>
      <c r="N5" s="921"/>
      <c r="O5" s="921"/>
      <c r="P5" s="921"/>
      <c r="Q5" s="921"/>
      <c r="R5" s="921"/>
      <c r="S5" s="921"/>
      <c r="T5" s="921"/>
      <c r="U5" s="921"/>
      <c r="V5" s="921"/>
      <c r="W5" s="921"/>
      <c r="X5" s="921"/>
      <c r="Y5" s="921"/>
      <c r="Z5" s="924"/>
      <c r="AA5" s="921"/>
      <c r="AB5" s="921"/>
      <c r="AC5" s="921"/>
      <c r="AD5" s="921"/>
      <c r="AE5" s="921"/>
      <c r="AF5" s="921"/>
      <c r="AG5" s="921"/>
      <c r="AH5" s="921"/>
      <c r="AI5" s="921"/>
      <c r="AJ5" s="921"/>
      <c r="AK5" s="921"/>
      <c r="AL5" s="921"/>
      <c r="AM5" s="921"/>
      <c r="AN5" s="921"/>
      <c r="AO5" s="1098"/>
      <c r="AP5" s="1099" t="s">
        <v>1132</v>
      </c>
      <c r="AQ5" s="921"/>
      <c r="AR5" s="921"/>
      <c r="AS5" s="921"/>
      <c r="AT5" s="921"/>
      <c r="AU5" s="921"/>
      <c r="AV5" s="921"/>
      <c r="AW5" s="921"/>
      <c r="AX5" s="921"/>
      <c r="AY5" s="921"/>
      <c r="AZ5" s="921"/>
      <c r="BA5" s="921"/>
      <c r="BB5" s="921"/>
      <c r="BC5" s="921"/>
      <c r="BD5" s="921"/>
      <c r="BE5" s="921"/>
    </row>
    <row r="6" spans="1:57" ht="8.1" customHeight="1" thickBot="1">
      <c r="A6" s="882"/>
      <c r="B6" s="882"/>
      <c r="C6" s="921"/>
      <c r="D6" s="921"/>
      <c r="E6" s="921"/>
      <c r="F6" s="921"/>
      <c r="G6" s="921"/>
      <c r="H6" s="921"/>
      <c r="I6" s="921"/>
      <c r="J6" s="921"/>
      <c r="K6" s="921"/>
      <c r="L6" s="921"/>
      <c r="M6" s="921"/>
      <c r="N6" s="921"/>
      <c r="O6" s="921"/>
      <c r="P6" s="921"/>
      <c r="Q6" s="921"/>
      <c r="R6" s="921"/>
      <c r="S6" s="921"/>
      <c r="T6" s="921"/>
      <c r="U6" s="921"/>
      <c r="V6" s="921"/>
      <c r="W6" s="921"/>
      <c r="X6" s="921"/>
      <c r="Y6" s="921"/>
      <c r="Z6" s="924"/>
      <c r="AA6" s="921"/>
      <c r="AB6" s="921"/>
      <c r="AC6" s="921"/>
      <c r="AD6" s="921"/>
      <c r="AE6" s="921"/>
      <c r="AF6" s="921"/>
      <c r="AG6" s="921"/>
      <c r="AH6" s="921"/>
      <c r="AI6" s="921"/>
      <c r="AJ6" s="921"/>
      <c r="AK6" s="921"/>
      <c r="AL6" s="921"/>
      <c r="AM6" s="921"/>
      <c r="AN6" s="921"/>
      <c r="AO6" s="1098"/>
      <c r="AP6" s="1098"/>
      <c r="AQ6" s="921"/>
      <c r="AR6" s="921"/>
      <c r="AS6" s="921"/>
      <c r="AT6" s="921"/>
      <c r="AU6" s="921"/>
      <c r="AV6" s="921"/>
      <c r="AW6" s="921"/>
      <c r="AX6" s="921"/>
      <c r="AY6" s="921"/>
      <c r="AZ6" s="921"/>
      <c r="BA6" s="921"/>
      <c r="BB6" s="921"/>
      <c r="BC6" s="921"/>
      <c r="BD6" s="921"/>
      <c r="BE6" s="921"/>
    </row>
    <row r="7" spans="1:57" ht="15.75" thickBot="1">
      <c r="A7" s="1733" t="s">
        <v>744</v>
      </c>
      <c r="B7" s="1736" t="s">
        <v>745</v>
      </c>
      <c r="C7" s="925" t="s">
        <v>746</v>
      </c>
      <c r="D7" s="1739" t="s">
        <v>747</v>
      </c>
      <c r="E7" s="1740"/>
      <c r="F7" s="1740"/>
      <c r="G7" s="1740"/>
      <c r="H7" s="1740"/>
      <c r="I7" s="1740"/>
      <c r="J7" s="1740"/>
      <c r="K7" s="1740"/>
      <c r="L7" s="1740"/>
      <c r="M7" s="1740"/>
      <c r="N7" s="1740"/>
      <c r="O7" s="1741"/>
      <c r="P7" s="926"/>
      <c r="Q7" s="927"/>
      <c r="R7" s="926"/>
      <c r="S7" s="1742" t="s">
        <v>748</v>
      </c>
      <c r="T7" s="1743"/>
      <c r="U7" s="1744"/>
      <c r="V7" s="926"/>
      <c r="W7" s="1745" t="s">
        <v>749</v>
      </c>
      <c r="X7" s="1746"/>
      <c r="Y7" s="926"/>
      <c r="Z7" s="928"/>
      <c r="AA7" s="1709" t="s">
        <v>750</v>
      </c>
      <c r="AB7" s="1709"/>
      <c r="AC7" s="1709"/>
      <c r="AD7" s="1709"/>
      <c r="AE7" s="1709"/>
      <c r="AF7" s="1709"/>
      <c r="AG7" s="1709"/>
      <c r="AH7" s="1709"/>
      <c r="AI7" s="1709"/>
      <c r="AJ7" s="1710"/>
      <c r="AK7" s="921"/>
      <c r="AL7" s="923"/>
      <c r="AM7" s="921"/>
      <c r="AN7" s="921"/>
      <c r="AO7" s="577"/>
      <c r="AP7" s="577"/>
      <c r="AQ7" s="921"/>
      <c r="AR7" s="921"/>
      <c r="AS7" s="921"/>
      <c r="AT7" s="921"/>
      <c r="AU7" s="921"/>
      <c r="AV7" s="921"/>
      <c r="AW7" s="921"/>
      <c r="AX7" s="921"/>
      <c r="AY7" s="921"/>
      <c r="AZ7" s="921"/>
      <c r="BA7" s="921"/>
      <c r="BB7" s="921"/>
      <c r="BC7" s="921"/>
      <c r="BD7" s="921"/>
      <c r="BE7" s="921"/>
    </row>
    <row r="8" spans="1:57" ht="15" thickBot="1">
      <c r="A8" s="1734"/>
      <c r="B8" s="1737"/>
      <c r="C8" s="929" t="s">
        <v>751</v>
      </c>
      <c r="D8" s="1711" t="s">
        <v>752</v>
      </c>
      <c r="E8" s="1712"/>
      <c r="F8" s="1713"/>
      <c r="G8" s="1714" t="s">
        <v>753</v>
      </c>
      <c r="H8" s="1715"/>
      <c r="I8" s="1716"/>
      <c r="J8" s="1717" t="s">
        <v>754</v>
      </c>
      <c r="K8" s="1718"/>
      <c r="L8" s="1719"/>
      <c r="M8" s="1720" t="s">
        <v>755</v>
      </c>
      <c r="N8" s="1721"/>
      <c r="O8" s="1722"/>
      <c r="P8" s="926"/>
      <c r="Q8" s="930"/>
      <c r="R8" s="926"/>
      <c r="S8" s="1723" t="s">
        <v>756</v>
      </c>
      <c r="T8" s="1724"/>
      <c r="U8" s="1725"/>
      <c r="V8" s="926"/>
      <c r="W8" s="1726" t="s">
        <v>757</v>
      </c>
      <c r="X8" s="1727"/>
      <c r="Y8" s="926"/>
      <c r="Z8" s="931"/>
      <c r="AA8" s="932"/>
      <c r="AB8" s="932"/>
      <c r="AC8" s="932"/>
      <c r="AD8" s="932"/>
      <c r="AE8" s="1728" t="s">
        <v>752</v>
      </c>
      <c r="AF8" s="1729"/>
      <c r="AG8" s="1728" t="s">
        <v>753</v>
      </c>
      <c r="AH8" s="1729"/>
      <c r="AI8" s="1728" t="s">
        <v>758</v>
      </c>
      <c r="AJ8" s="1729"/>
      <c r="AK8" s="921"/>
      <c r="AL8" s="923"/>
      <c r="AM8" s="921"/>
      <c r="AN8" s="921"/>
      <c r="AO8" s="577"/>
      <c r="AP8" s="577"/>
      <c r="AQ8" s="921"/>
      <c r="AR8" s="921"/>
      <c r="AS8" s="921"/>
      <c r="AT8" s="921"/>
      <c r="AU8" s="921"/>
      <c r="AV8" s="921"/>
      <c r="AW8" s="921"/>
      <c r="AX8" s="921"/>
      <c r="AY8" s="921"/>
      <c r="AZ8" s="921"/>
      <c r="BA8" s="921"/>
      <c r="BB8" s="921"/>
      <c r="BC8" s="921"/>
      <c r="BD8" s="921"/>
      <c r="BE8" s="921"/>
    </row>
    <row r="9" spans="1:57" ht="15.75" thickTop="1" thickBot="1">
      <c r="A9" s="1735"/>
      <c r="B9" s="1738"/>
      <c r="C9" s="933" t="s">
        <v>759</v>
      </c>
      <c r="D9" s="1692" t="s">
        <v>760</v>
      </c>
      <c r="E9" s="1693"/>
      <c r="F9" s="1694"/>
      <c r="G9" s="1695" t="s">
        <v>761</v>
      </c>
      <c r="H9" s="1696"/>
      <c r="I9" s="1697"/>
      <c r="J9" s="1698" t="s">
        <v>762</v>
      </c>
      <c r="K9" s="1699"/>
      <c r="L9" s="1700"/>
      <c r="M9" s="1701" t="s">
        <v>763</v>
      </c>
      <c r="N9" s="1702"/>
      <c r="O9" s="1703"/>
      <c r="P9" s="926"/>
      <c r="Q9" s="934"/>
      <c r="R9" s="926"/>
      <c r="S9" s="1704" t="s">
        <v>764</v>
      </c>
      <c r="T9" s="1705"/>
      <c r="U9" s="1706"/>
      <c r="V9" s="926"/>
      <c r="W9" s="935"/>
      <c r="X9" s="936"/>
      <c r="Y9" s="926"/>
      <c r="Z9" s="937"/>
      <c r="AA9" s="938" t="s">
        <v>765</v>
      </c>
      <c r="AB9" s="939" t="s">
        <v>766</v>
      </c>
      <c r="AC9" s="939" t="s">
        <v>767</v>
      </c>
      <c r="AD9" s="939" t="s">
        <v>767</v>
      </c>
      <c r="AE9" s="1707" t="s">
        <v>768</v>
      </c>
      <c r="AF9" s="1708"/>
      <c r="AG9" s="1707" t="s">
        <v>768</v>
      </c>
      <c r="AH9" s="1708"/>
      <c r="AI9" s="1707" t="s">
        <v>768</v>
      </c>
      <c r="AJ9" s="1708"/>
      <c r="AK9" s="921"/>
      <c r="AL9" s="940" t="s">
        <v>769</v>
      </c>
      <c r="AM9" s="941"/>
      <c r="AN9" s="921"/>
      <c r="AO9" s="1100" t="s">
        <v>1133</v>
      </c>
      <c r="AP9" s="1100"/>
      <c r="AQ9" s="921"/>
      <c r="AR9" s="921"/>
      <c r="AS9" s="921"/>
      <c r="AT9" s="921"/>
      <c r="AU9" s="921"/>
      <c r="AV9" s="921"/>
      <c r="AW9" s="921"/>
      <c r="AX9" s="921"/>
      <c r="AY9" s="921"/>
      <c r="AZ9" s="921"/>
      <c r="BA9" s="921"/>
      <c r="BB9" s="921"/>
      <c r="BC9" s="921"/>
      <c r="BD9" s="921"/>
      <c r="BE9" s="921"/>
    </row>
    <row r="10" spans="1:57" ht="14.25" thickTop="1" thickBot="1">
      <c r="A10" s="942"/>
      <c r="B10" s="943"/>
      <c r="C10" s="944"/>
      <c r="D10" s="945" t="s">
        <v>770</v>
      </c>
      <c r="E10" s="945"/>
      <c r="F10" s="945" t="s">
        <v>5</v>
      </c>
      <c r="G10" s="946" t="s">
        <v>770</v>
      </c>
      <c r="H10" s="946"/>
      <c r="I10" s="946" t="s">
        <v>5</v>
      </c>
      <c r="J10" s="947" t="s">
        <v>770</v>
      </c>
      <c r="K10" s="947"/>
      <c r="L10" s="947" t="s">
        <v>5</v>
      </c>
      <c r="M10" s="948" t="s">
        <v>770</v>
      </c>
      <c r="N10" s="948"/>
      <c r="O10" s="949" t="s">
        <v>5</v>
      </c>
      <c r="P10" s="926"/>
      <c r="Q10" s="934"/>
      <c r="R10" s="926"/>
      <c r="S10" s="950" t="s">
        <v>770</v>
      </c>
      <c r="T10" s="951"/>
      <c r="U10" s="951" t="s">
        <v>5</v>
      </c>
      <c r="V10" s="926"/>
      <c r="W10" s="952" t="s">
        <v>770</v>
      </c>
      <c r="X10" s="953" t="s">
        <v>5</v>
      </c>
      <c r="Y10" s="926"/>
      <c r="Z10" s="937"/>
      <c r="AA10" s="954" t="s">
        <v>771</v>
      </c>
      <c r="AB10" s="939" t="s">
        <v>205</v>
      </c>
      <c r="AC10" s="939" t="s">
        <v>5</v>
      </c>
      <c r="AD10" s="955" t="s">
        <v>5</v>
      </c>
      <c r="AE10" s="1707" t="s">
        <v>5</v>
      </c>
      <c r="AF10" s="1708"/>
      <c r="AG10" s="1707" t="s">
        <v>5</v>
      </c>
      <c r="AH10" s="1708"/>
      <c r="AI10" s="1707" t="s">
        <v>5</v>
      </c>
      <c r="AJ10" s="1708"/>
      <c r="AK10" s="921"/>
      <c r="AL10" s="956" t="s">
        <v>772</v>
      </c>
      <c r="AM10" s="957"/>
      <c r="AN10" s="921"/>
      <c r="AO10" s="1101" t="s">
        <v>1134</v>
      </c>
      <c r="AP10" s="1101" t="s">
        <v>1135</v>
      </c>
      <c r="AQ10" s="921"/>
      <c r="AR10" s="921"/>
      <c r="AS10" s="921"/>
      <c r="AT10" s="921"/>
      <c r="AU10" s="921"/>
      <c r="AV10" s="921"/>
      <c r="AW10" s="921"/>
      <c r="AX10" s="921"/>
      <c r="AY10" s="921"/>
      <c r="AZ10" s="921"/>
      <c r="BA10" s="921"/>
      <c r="BB10" s="921"/>
      <c r="BC10" s="921"/>
      <c r="BD10" s="921"/>
      <c r="BE10" s="921"/>
    </row>
    <row r="11" spans="1:57" ht="14.25" thickTop="1" thickBot="1">
      <c r="A11" s="958"/>
      <c r="B11" s="959"/>
      <c r="C11" s="960"/>
      <c r="D11" s="945" t="s">
        <v>126</v>
      </c>
      <c r="E11" s="945"/>
      <c r="F11" s="945" t="s">
        <v>122</v>
      </c>
      <c r="G11" s="946" t="s">
        <v>126</v>
      </c>
      <c r="H11" s="946"/>
      <c r="I11" s="946" t="s">
        <v>122</v>
      </c>
      <c r="J11" s="947" t="s">
        <v>126</v>
      </c>
      <c r="K11" s="947"/>
      <c r="L11" s="947" t="s">
        <v>122</v>
      </c>
      <c r="M11" s="948" t="s">
        <v>126</v>
      </c>
      <c r="N11" s="948"/>
      <c r="O11" s="949" t="s">
        <v>122</v>
      </c>
      <c r="P11" s="926"/>
      <c r="Q11" s="961"/>
      <c r="R11" s="926"/>
      <c r="S11" s="950" t="s">
        <v>126</v>
      </c>
      <c r="T11" s="962"/>
      <c r="U11" s="962" t="s">
        <v>122</v>
      </c>
      <c r="V11" s="926"/>
      <c r="W11" s="963" t="s">
        <v>126</v>
      </c>
      <c r="X11" s="964" t="s">
        <v>122</v>
      </c>
      <c r="Y11" s="926"/>
      <c r="Z11" s="965"/>
      <c r="AA11" s="966" t="s">
        <v>773</v>
      </c>
      <c r="AB11" s="967" t="s">
        <v>774</v>
      </c>
      <c r="AC11" s="968">
        <v>30</v>
      </c>
      <c r="AD11" s="969">
        <f>AC11</f>
        <v>30</v>
      </c>
      <c r="AE11" s="970">
        <f>AC11</f>
        <v>30</v>
      </c>
      <c r="AF11" s="969">
        <f>AC11</f>
        <v>30</v>
      </c>
      <c r="AG11" s="970">
        <f>AC11</f>
        <v>30</v>
      </c>
      <c r="AH11" s="969">
        <f>AC11</f>
        <v>30</v>
      </c>
      <c r="AI11" s="970">
        <f>AC11</f>
        <v>30</v>
      </c>
      <c r="AJ11" s="969">
        <f>AC11</f>
        <v>30</v>
      </c>
      <c r="AK11" s="921"/>
      <c r="AL11" s="956" t="s">
        <v>775</v>
      </c>
      <c r="AM11" s="971" t="s">
        <v>776</v>
      </c>
      <c r="AN11" s="921"/>
      <c r="AO11" s="1102" t="s">
        <v>1136</v>
      </c>
      <c r="AP11" s="1102" t="s">
        <v>1137</v>
      </c>
      <c r="AQ11" s="921"/>
      <c r="AR11" s="921"/>
      <c r="AS11" s="921"/>
      <c r="AT11" s="921"/>
      <c r="AU11" s="921"/>
      <c r="AV11" s="921"/>
      <c r="AW11" s="921"/>
      <c r="AX11" s="921"/>
      <c r="AY11" s="921"/>
      <c r="AZ11" s="921"/>
      <c r="BA11" s="921"/>
      <c r="BB11" s="921"/>
      <c r="BC11" s="921"/>
      <c r="BD11" s="921"/>
      <c r="BE11" s="921"/>
    </row>
    <row r="12" spans="1:57" ht="14.25" thickTop="1" thickBot="1">
      <c r="A12" s="958">
        <v>1</v>
      </c>
      <c r="B12" s="959"/>
      <c r="C12" s="972">
        <v>2004</v>
      </c>
      <c r="D12" s="973"/>
      <c r="E12" s="973"/>
      <c r="F12" s="974">
        <v>0.57399999999999995</v>
      </c>
      <c r="G12" s="975"/>
      <c r="H12" s="975"/>
      <c r="I12" s="976">
        <v>0.54600000000000004</v>
      </c>
      <c r="J12" s="977"/>
      <c r="K12" s="977"/>
      <c r="L12" s="978">
        <v>0.54</v>
      </c>
      <c r="M12" s="979"/>
      <c r="N12" s="979"/>
      <c r="O12" s="980">
        <v>0.54</v>
      </c>
      <c r="P12" s="926"/>
      <c r="Q12" s="937"/>
      <c r="R12" s="926"/>
      <c r="S12" s="981"/>
      <c r="T12" s="962"/>
      <c r="U12" s="982">
        <v>0.45700000000000002</v>
      </c>
      <c r="V12" s="926"/>
      <c r="W12" s="983"/>
      <c r="X12" s="984">
        <v>0.45700000000000002</v>
      </c>
      <c r="Y12" s="926"/>
      <c r="Z12" s="937"/>
      <c r="AA12" s="985">
        <v>0</v>
      </c>
      <c r="AB12" s="986"/>
      <c r="AC12" s="986"/>
      <c r="AD12" s="987"/>
      <c r="AE12" s="988"/>
      <c r="AF12" s="989"/>
      <c r="AG12" s="988"/>
      <c r="AH12" s="989"/>
      <c r="AI12" s="988"/>
      <c r="AJ12" s="989"/>
      <c r="AK12" s="921"/>
      <c r="AL12" s="990"/>
      <c r="AM12" s="990"/>
      <c r="AN12" s="921"/>
      <c r="AO12" s="921"/>
      <c r="AP12" s="921"/>
      <c r="AQ12" s="921"/>
      <c r="AR12" s="921"/>
      <c r="AS12" s="921"/>
      <c r="AT12" s="921"/>
      <c r="AU12" s="921"/>
      <c r="AV12" s="921"/>
      <c r="AW12" s="921"/>
      <c r="AX12" s="921"/>
      <c r="AY12" s="921"/>
      <c r="AZ12" s="921"/>
      <c r="BA12" s="921"/>
      <c r="BB12" s="921"/>
      <c r="BC12" s="921"/>
      <c r="BD12" s="921"/>
      <c r="BE12" s="921"/>
    </row>
    <row r="13" spans="1:57" ht="14.25" thickTop="1" thickBot="1">
      <c r="A13" s="958">
        <v>2</v>
      </c>
      <c r="B13" s="959"/>
      <c r="C13" s="972">
        <v>2005</v>
      </c>
      <c r="D13" s="973">
        <v>0.05</v>
      </c>
      <c r="E13" s="973"/>
      <c r="F13" s="974">
        <f>ROUND(F12*(1-D13),4)</f>
        <v>0.54530000000000001</v>
      </c>
      <c r="G13" s="975">
        <v>0.05</v>
      </c>
      <c r="H13" s="975"/>
      <c r="I13" s="974">
        <f>ROUND(I12*(1-G13),4)</f>
        <v>0.51870000000000005</v>
      </c>
      <c r="J13" s="977">
        <v>0.05</v>
      </c>
      <c r="K13" s="977"/>
      <c r="L13" s="978">
        <f>ROUND(L12*(1-J13),4)</f>
        <v>0.51300000000000001</v>
      </c>
      <c r="M13" s="979">
        <v>0.05</v>
      </c>
      <c r="N13" s="979"/>
      <c r="O13" s="980">
        <f>ROUND(O12*(1-M13),4)</f>
        <v>0.51300000000000001</v>
      </c>
      <c r="P13" s="926"/>
      <c r="Q13" s="937"/>
      <c r="R13" s="926"/>
      <c r="S13" s="981">
        <v>0.05</v>
      </c>
      <c r="T13" s="962"/>
      <c r="U13" s="982">
        <f>ROUND(U12*(1-S13),4)</f>
        <v>0.43419999999999997</v>
      </c>
      <c r="V13" s="926"/>
      <c r="W13" s="983">
        <v>0.05</v>
      </c>
      <c r="X13" s="984">
        <f>ROUND(X12*(1-W13),4)</f>
        <v>0.43419999999999997</v>
      </c>
      <c r="Y13" s="926"/>
      <c r="Z13" s="937"/>
      <c r="AA13" s="985">
        <v>0</v>
      </c>
      <c r="AB13" s="986"/>
      <c r="AC13" s="986"/>
      <c r="AD13" s="987"/>
      <c r="AE13" s="988"/>
      <c r="AF13" s="989"/>
      <c r="AG13" s="988"/>
      <c r="AH13" s="989"/>
      <c r="AI13" s="988"/>
      <c r="AJ13" s="989"/>
      <c r="AK13" s="921"/>
      <c r="AL13" s="990"/>
      <c r="AM13" s="990"/>
      <c r="AN13" s="921"/>
      <c r="AO13" s="921"/>
      <c r="AP13" s="921"/>
      <c r="AQ13" s="921"/>
      <c r="AR13" s="921"/>
      <c r="AS13" s="921"/>
      <c r="AT13" s="921"/>
      <c r="AU13" s="921"/>
      <c r="AV13" s="921"/>
      <c r="AW13" s="921"/>
      <c r="AX13" s="921"/>
      <c r="AY13" s="921"/>
      <c r="AZ13" s="921"/>
      <c r="BA13" s="921"/>
      <c r="BB13" s="921"/>
      <c r="BC13" s="921"/>
      <c r="BD13" s="921"/>
      <c r="BE13" s="921"/>
    </row>
    <row r="14" spans="1:57" ht="14.25" thickTop="1" thickBot="1">
      <c r="A14" s="958">
        <v>3</v>
      </c>
      <c r="B14" s="959"/>
      <c r="C14" s="972">
        <v>2006</v>
      </c>
      <c r="D14" s="973">
        <v>0.05</v>
      </c>
      <c r="E14" s="973"/>
      <c r="F14" s="974">
        <f t="shared" ref="F14:F22" si="0">ROUND(F13*(1-D14),4)</f>
        <v>0.51800000000000002</v>
      </c>
      <c r="G14" s="975">
        <v>0.05</v>
      </c>
      <c r="H14" s="975"/>
      <c r="I14" s="974">
        <f t="shared" ref="I14:I22" si="1">ROUND(I13*(1-G14),4)</f>
        <v>0.49280000000000002</v>
      </c>
      <c r="J14" s="977">
        <v>0.05</v>
      </c>
      <c r="K14" s="977"/>
      <c r="L14" s="978">
        <f t="shared" ref="L14:L20" si="2">ROUND(L13*(1-J14),4)</f>
        <v>0.4874</v>
      </c>
      <c r="M14" s="979">
        <v>0.05</v>
      </c>
      <c r="N14" s="979"/>
      <c r="O14" s="980">
        <f t="shared" ref="O14:O22" si="3">ROUND(O13*(1-M14),4)</f>
        <v>0.4874</v>
      </c>
      <c r="P14" s="926"/>
      <c r="Q14" s="937"/>
      <c r="R14" s="926"/>
      <c r="S14" s="981">
        <v>6.5000000000000002E-2</v>
      </c>
      <c r="T14" s="962"/>
      <c r="U14" s="982">
        <f>ROUND(U13*(1-S14),4)</f>
        <v>0.40600000000000003</v>
      </c>
      <c r="V14" s="926"/>
      <c r="W14" s="983">
        <v>6.5000000000000002E-2</v>
      </c>
      <c r="X14" s="984">
        <f t="shared" ref="X14:X20" si="4">ROUND(X13*(1-W14),4)</f>
        <v>0.40600000000000003</v>
      </c>
      <c r="Y14" s="926"/>
      <c r="Z14" s="937"/>
      <c r="AA14" s="985">
        <v>0</v>
      </c>
      <c r="AB14" s="986"/>
      <c r="AC14" s="986"/>
      <c r="AD14" s="987"/>
      <c r="AE14" s="988"/>
      <c r="AF14" s="989"/>
      <c r="AG14" s="988"/>
      <c r="AH14" s="989"/>
      <c r="AI14" s="988"/>
      <c r="AJ14" s="989"/>
      <c r="AK14" s="921"/>
      <c r="AL14" s="990"/>
      <c r="AM14" s="990"/>
      <c r="AN14" s="921"/>
      <c r="AO14" s="921"/>
      <c r="AP14" s="921"/>
      <c r="AQ14" s="921"/>
      <c r="AR14" s="921"/>
      <c r="AS14" s="921"/>
      <c r="AT14" s="921"/>
      <c r="AU14" s="921"/>
      <c r="AV14" s="921"/>
      <c r="AW14" s="921"/>
      <c r="AX14" s="921"/>
      <c r="AY14" s="921"/>
      <c r="AZ14" s="921"/>
      <c r="BA14" s="921"/>
      <c r="BB14" s="921"/>
      <c r="BC14" s="921"/>
      <c r="BD14" s="921"/>
      <c r="BE14" s="921"/>
    </row>
    <row r="15" spans="1:57" ht="14.25" thickTop="1" thickBot="1">
      <c r="A15" s="958">
        <v>4</v>
      </c>
      <c r="B15" s="959"/>
      <c r="C15" s="972">
        <v>2007</v>
      </c>
      <c r="D15" s="973">
        <v>0.05</v>
      </c>
      <c r="E15" s="973"/>
      <c r="F15" s="974">
        <f t="shared" si="0"/>
        <v>0.49209999999999998</v>
      </c>
      <c r="G15" s="975">
        <v>0.05</v>
      </c>
      <c r="H15" s="975"/>
      <c r="I15" s="974">
        <f t="shared" si="1"/>
        <v>0.46820000000000001</v>
      </c>
      <c r="J15" s="977">
        <v>0.05</v>
      </c>
      <c r="K15" s="977"/>
      <c r="L15" s="978">
        <f t="shared" si="2"/>
        <v>0.46300000000000002</v>
      </c>
      <c r="M15" s="979">
        <v>0.05</v>
      </c>
      <c r="N15" s="979"/>
      <c r="O15" s="980">
        <f t="shared" si="3"/>
        <v>0.46300000000000002</v>
      </c>
      <c r="P15" s="926"/>
      <c r="Q15" s="937"/>
      <c r="R15" s="926"/>
      <c r="S15" s="981">
        <v>6.5000000000000002E-2</v>
      </c>
      <c r="T15" s="962"/>
      <c r="U15" s="982">
        <f>ROUND(U14*(1-S15),4)</f>
        <v>0.37959999999999999</v>
      </c>
      <c r="V15" s="926"/>
      <c r="W15" s="983">
        <v>6.5000000000000002E-2</v>
      </c>
      <c r="X15" s="984">
        <f t="shared" si="4"/>
        <v>0.37959999999999999</v>
      </c>
      <c r="Y15" s="926"/>
      <c r="Z15" s="937"/>
      <c r="AA15" s="985">
        <v>0</v>
      </c>
      <c r="AB15" s="986"/>
      <c r="AC15" s="986"/>
      <c r="AD15" s="987"/>
      <c r="AE15" s="988"/>
      <c r="AF15" s="989"/>
      <c r="AG15" s="988"/>
      <c r="AH15" s="989"/>
      <c r="AI15" s="988"/>
      <c r="AJ15" s="989"/>
      <c r="AK15" s="921"/>
      <c r="AL15" s="990"/>
      <c r="AM15" s="990"/>
      <c r="AN15" s="921"/>
      <c r="AO15" s="921"/>
      <c r="AP15" s="921"/>
      <c r="AQ15" s="921"/>
      <c r="AR15" s="921"/>
      <c r="AS15" s="921"/>
      <c r="AT15" s="921"/>
      <c r="AU15" s="921"/>
      <c r="AV15" s="921"/>
      <c r="AW15" s="921"/>
      <c r="AX15" s="921"/>
      <c r="AY15" s="921"/>
      <c r="AZ15" s="921"/>
      <c r="BA15" s="921"/>
      <c r="BB15" s="921"/>
      <c r="BC15" s="921"/>
      <c r="BD15" s="921"/>
      <c r="BE15" s="921"/>
    </row>
    <row r="16" spans="1:57" ht="14.25" thickTop="1" thickBot="1">
      <c r="A16" s="958">
        <v>5</v>
      </c>
      <c r="B16" s="959"/>
      <c r="C16" s="972">
        <v>2008</v>
      </c>
      <c r="D16" s="973">
        <v>0.05</v>
      </c>
      <c r="E16" s="973"/>
      <c r="F16" s="974">
        <f t="shared" si="0"/>
        <v>0.46750000000000003</v>
      </c>
      <c r="G16" s="975">
        <v>0.05</v>
      </c>
      <c r="H16" s="975"/>
      <c r="I16" s="974">
        <f t="shared" si="1"/>
        <v>0.44479999999999997</v>
      </c>
      <c r="J16" s="977">
        <v>0.05</v>
      </c>
      <c r="K16" s="977"/>
      <c r="L16" s="978">
        <f t="shared" si="2"/>
        <v>0.43990000000000001</v>
      </c>
      <c r="M16" s="979">
        <v>0.05</v>
      </c>
      <c r="N16" s="979"/>
      <c r="O16" s="980">
        <f t="shared" si="3"/>
        <v>0.43990000000000001</v>
      </c>
      <c r="P16" s="926"/>
      <c r="Q16" s="937"/>
      <c r="R16" s="926"/>
      <c r="S16" s="981">
        <v>6.5000000000000002E-2</v>
      </c>
      <c r="T16" s="962"/>
      <c r="U16" s="982">
        <f>ROUND(U15*(1-S16),4)</f>
        <v>0.35489999999999999</v>
      </c>
      <c r="V16" s="926"/>
      <c r="W16" s="983">
        <v>6.5000000000000002E-2</v>
      </c>
      <c r="X16" s="984">
        <f t="shared" si="4"/>
        <v>0.35489999999999999</v>
      </c>
      <c r="Y16" s="926"/>
      <c r="Z16" s="937"/>
      <c r="AA16" s="985">
        <v>0</v>
      </c>
      <c r="AB16" s="986"/>
      <c r="AC16" s="986"/>
      <c r="AD16" s="987"/>
      <c r="AE16" s="988"/>
      <c r="AF16" s="989"/>
      <c r="AG16" s="988"/>
      <c r="AH16" s="989"/>
      <c r="AI16" s="988"/>
      <c r="AJ16" s="989"/>
      <c r="AK16" s="921"/>
      <c r="AL16" s="990"/>
      <c r="AM16" s="990"/>
      <c r="AN16" s="921"/>
      <c r="AO16" s="921"/>
      <c r="AP16" s="921"/>
      <c r="AQ16" s="921"/>
      <c r="AR16" s="921"/>
      <c r="AS16" s="921"/>
      <c r="AT16" s="921"/>
      <c r="AU16" s="921"/>
      <c r="AV16" s="921"/>
      <c r="AW16" s="921"/>
      <c r="AX16" s="921"/>
      <c r="AY16" s="921"/>
      <c r="AZ16" s="921"/>
      <c r="BA16" s="921"/>
      <c r="BB16" s="921"/>
      <c r="BC16" s="921"/>
      <c r="BD16" s="921"/>
      <c r="BE16" s="921"/>
    </row>
    <row r="17" spans="1:57" ht="14.25" thickTop="1" thickBot="1">
      <c r="A17" s="958">
        <v>6</v>
      </c>
      <c r="B17" s="959"/>
      <c r="C17" s="972">
        <v>2009</v>
      </c>
      <c r="D17" s="973">
        <v>0.08</v>
      </c>
      <c r="E17" s="973"/>
      <c r="F17" s="974">
        <v>0.43009999999999998</v>
      </c>
      <c r="G17" s="975">
        <v>0.08</v>
      </c>
      <c r="H17" s="975"/>
      <c r="I17" s="974">
        <v>0.40910000000000002</v>
      </c>
      <c r="J17" s="977">
        <v>0.1</v>
      </c>
      <c r="K17" s="977"/>
      <c r="L17" s="978">
        <v>0.39579999999999999</v>
      </c>
      <c r="M17" s="979">
        <v>0.25</v>
      </c>
      <c r="N17" s="979"/>
      <c r="O17" s="991">
        <v>0.33</v>
      </c>
      <c r="P17" s="926"/>
      <c r="Q17" s="937"/>
      <c r="R17" s="926"/>
      <c r="S17" s="981">
        <v>0.1</v>
      </c>
      <c r="T17" s="962"/>
      <c r="U17" s="982">
        <v>0.31940000000000002</v>
      </c>
      <c r="V17" s="926"/>
      <c r="W17" s="983">
        <v>0.1</v>
      </c>
      <c r="X17" s="984">
        <f t="shared" si="4"/>
        <v>0.31940000000000002</v>
      </c>
      <c r="Y17" s="926"/>
      <c r="Z17" s="937"/>
      <c r="AA17" s="992">
        <v>30</v>
      </c>
      <c r="AB17" s="993">
        <v>0.2</v>
      </c>
      <c r="AC17" s="994">
        <f>AF17-F17</f>
        <v>-0.18</v>
      </c>
      <c r="AD17" s="995">
        <f>AF17-F17</f>
        <v>-0.18</v>
      </c>
      <c r="AE17" s="996">
        <v>0.25009999999999999</v>
      </c>
      <c r="AF17" s="997">
        <v>0.25009999999999999</v>
      </c>
      <c r="AG17" s="988"/>
      <c r="AH17" s="989"/>
      <c r="AI17" s="988"/>
      <c r="AJ17" s="989"/>
      <c r="AK17" s="921"/>
      <c r="AL17" s="990"/>
      <c r="AM17" s="990"/>
      <c r="AN17" s="921"/>
      <c r="AO17" s="921"/>
      <c r="AP17" s="921"/>
      <c r="AQ17" s="921"/>
      <c r="AR17" s="921"/>
      <c r="AS17" s="921"/>
      <c r="AT17" s="921"/>
      <c r="AU17" s="921"/>
      <c r="AV17" s="921"/>
      <c r="AW17" s="921"/>
      <c r="AX17" s="921"/>
      <c r="AY17" s="921"/>
      <c r="AZ17" s="921"/>
      <c r="BA17" s="921"/>
      <c r="BB17" s="921"/>
      <c r="BC17" s="921"/>
      <c r="BD17" s="921"/>
      <c r="BE17" s="921"/>
    </row>
    <row r="18" spans="1:57" ht="14.25" thickTop="1" thickBot="1">
      <c r="A18" s="958">
        <v>7</v>
      </c>
      <c r="B18" s="959"/>
      <c r="C18" s="972" t="s">
        <v>777</v>
      </c>
      <c r="D18" s="973">
        <v>0.09</v>
      </c>
      <c r="E18" s="973"/>
      <c r="F18" s="974">
        <f t="shared" si="0"/>
        <v>0.39140000000000003</v>
      </c>
      <c r="G18" s="975">
        <v>0.09</v>
      </c>
      <c r="H18" s="975"/>
      <c r="I18" s="974">
        <f t="shared" si="1"/>
        <v>0.37230000000000002</v>
      </c>
      <c r="J18" s="977">
        <v>0.11</v>
      </c>
      <c r="K18" s="977"/>
      <c r="L18" s="978">
        <f t="shared" si="2"/>
        <v>0.3523</v>
      </c>
      <c r="M18" s="979">
        <v>0.11</v>
      </c>
      <c r="N18" s="979"/>
      <c r="O18" s="991">
        <f t="shared" si="3"/>
        <v>0.29370000000000002</v>
      </c>
      <c r="P18" s="926"/>
      <c r="Q18" s="937"/>
      <c r="R18" s="926"/>
      <c r="S18" s="981">
        <v>0.11</v>
      </c>
      <c r="T18" s="962"/>
      <c r="U18" s="982">
        <f>ROUND(U17*(1-S18),4)</f>
        <v>0.2843</v>
      </c>
      <c r="V18" s="926"/>
      <c r="W18" s="983">
        <v>0.11</v>
      </c>
      <c r="X18" s="984">
        <f t="shared" si="4"/>
        <v>0.2843</v>
      </c>
      <c r="Y18" s="926"/>
      <c r="Z18" s="937"/>
      <c r="AA18" s="992">
        <v>30</v>
      </c>
      <c r="AB18" s="993">
        <v>0.2</v>
      </c>
      <c r="AC18" s="994">
        <f>AF18-F18</f>
        <v>-0.16380000000000003</v>
      </c>
      <c r="AD18" s="995">
        <f>AF18-F18</f>
        <v>-0.16380000000000003</v>
      </c>
      <c r="AE18" s="996">
        <v>0.2276</v>
      </c>
      <c r="AF18" s="997">
        <v>0.2276</v>
      </c>
      <c r="AG18" s="988"/>
      <c r="AH18" s="989"/>
      <c r="AI18" s="988"/>
      <c r="AJ18" s="989"/>
      <c r="AK18" s="921"/>
      <c r="AL18" s="990"/>
      <c r="AM18" s="990"/>
      <c r="AN18" s="921"/>
      <c r="AO18" s="921"/>
      <c r="AP18" s="921"/>
      <c r="AQ18" s="921"/>
      <c r="AR18" s="921"/>
      <c r="AS18" s="921"/>
      <c r="AT18" s="921"/>
      <c r="AU18" s="921"/>
      <c r="AV18" s="921"/>
      <c r="AW18" s="921"/>
      <c r="AX18" s="921"/>
      <c r="AY18" s="921"/>
      <c r="AZ18" s="921"/>
      <c r="BA18" s="921"/>
      <c r="BB18" s="921"/>
      <c r="BC18" s="921"/>
      <c r="BD18" s="921"/>
      <c r="BE18" s="921"/>
    </row>
    <row r="19" spans="1:57" ht="14.25" thickTop="1" thickBot="1">
      <c r="A19" s="958">
        <v>8</v>
      </c>
      <c r="B19" s="959"/>
      <c r="C19" s="972" t="s">
        <v>778</v>
      </c>
      <c r="D19" s="973">
        <v>0.13</v>
      </c>
      <c r="E19" s="973"/>
      <c r="F19" s="974">
        <f t="shared" si="0"/>
        <v>0.34050000000000002</v>
      </c>
      <c r="G19" s="975">
        <v>0.13</v>
      </c>
      <c r="H19" s="975"/>
      <c r="I19" s="974">
        <f t="shared" si="1"/>
        <v>0.32390000000000002</v>
      </c>
      <c r="J19" s="977">
        <v>0.13</v>
      </c>
      <c r="K19" s="977"/>
      <c r="L19" s="978">
        <f t="shared" si="2"/>
        <v>0.30649999999999999</v>
      </c>
      <c r="M19" s="979">
        <v>0.13</v>
      </c>
      <c r="N19" s="979"/>
      <c r="O19" s="991">
        <f t="shared" si="3"/>
        <v>0.2555</v>
      </c>
      <c r="P19" s="926"/>
      <c r="Q19" s="937"/>
      <c r="R19" s="926"/>
      <c r="S19" s="981">
        <v>0.12</v>
      </c>
      <c r="T19" s="962"/>
      <c r="U19" s="982">
        <f>ROUND(U18*(1-S19),4)</f>
        <v>0.25019999999999998</v>
      </c>
      <c r="V19" s="926"/>
      <c r="W19" s="983">
        <v>0.08</v>
      </c>
      <c r="X19" s="998">
        <f t="shared" si="4"/>
        <v>0.2616</v>
      </c>
      <c r="Y19" s="926"/>
      <c r="Z19" s="937"/>
      <c r="AA19" s="992">
        <v>500</v>
      </c>
      <c r="AB19" s="993">
        <v>0.2</v>
      </c>
      <c r="AC19" s="999">
        <v>-0.1638</v>
      </c>
      <c r="AD19" s="1000">
        <v>-0.12</v>
      </c>
      <c r="AE19" s="1001">
        <f>F19+AC19</f>
        <v>0.17670000000000002</v>
      </c>
      <c r="AF19" s="1002">
        <f>F19+AD19</f>
        <v>0.22050000000000003</v>
      </c>
      <c r="AG19" s="1001">
        <f>I19+AC19</f>
        <v>0.16010000000000002</v>
      </c>
      <c r="AH19" s="1002">
        <f>I19+AD19</f>
        <v>0.20390000000000003</v>
      </c>
      <c r="AI19" s="1001">
        <f>L19+AC19</f>
        <v>0.14269999999999999</v>
      </c>
      <c r="AJ19" s="1002">
        <f>L19+AD19</f>
        <v>0.1865</v>
      </c>
      <c r="AK19" s="921"/>
      <c r="AL19" s="990"/>
      <c r="AM19" s="990"/>
      <c r="AN19" s="921"/>
      <c r="AO19" s="921"/>
      <c r="AP19" s="921"/>
      <c r="AQ19" s="921"/>
      <c r="AR19" s="921"/>
      <c r="AS19" s="921"/>
      <c r="AT19" s="921"/>
      <c r="AU19" s="921"/>
      <c r="AV19" s="921"/>
      <c r="AW19" s="921"/>
      <c r="AX19" s="921"/>
      <c r="AY19" s="921"/>
      <c r="AZ19" s="921"/>
      <c r="BA19" s="921"/>
      <c r="BB19" s="921"/>
      <c r="BC19" s="921"/>
      <c r="BD19" s="921"/>
      <c r="BE19" s="921"/>
    </row>
    <row r="20" spans="1:57" ht="14.25" thickTop="1" thickBot="1">
      <c r="A20" s="958">
        <v>9</v>
      </c>
      <c r="B20" s="959"/>
      <c r="C20" s="972" t="s">
        <v>779</v>
      </c>
      <c r="D20" s="973">
        <v>0.03</v>
      </c>
      <c r="E20" s="973"/>
      <c r="F20" s="974">
        <f t="shared" si="0"/>
        <v>0.33029999999999998</v>
      </c>
      <c r="G20" s="975">
        <v>0.03</v>
      </c>
      <c r="H20" s="975"/>
      <c r="I20" s="974">
        <f t="shared" si="1"/>
        <v>0.31419999999999998</v>
      </c>
      <c r="J20" s="977">
        <v>0.03</v>
      </c>
      <c r="K20" s="977"/>
      <c r="L20" s="978">
        <f t="shared" si="2"/>
        <v>0.29730000000000001</v>
      </c>
      <c r="M20" s="979">
        <v>0.03</v>
      </c>
      <c r="N20" s="979"/>
      <c r="O20" s="991">
        <f t="shared" si="3"/>
        <v>0.24779999999999999</v>
      </c>
      <c r="P20" s="926"/>
      <c r="Q20" s="937"/>
      <c r="R20" s="926"/>
      <c r="S20" s="981">
        <v>0.03</v>
      </c>
      <c r="T20" s="962"/>
      <c r="U20" s="982">
        <f>ROUND(U19*(1-S20),4)</f>
        <v>0.2427</v>
      </c>
      <c r="V20" s="926"/>
      <c r="W20" s="983">
        <v>0.03</v>
      </c>
      <c r="X20" s="998">
        <f t="shared" si="4"/>
        <v>0.25380000000000003</v>
      </c>
      <c r="Y20" s="926"/>
      <c r="Z20" s="937"/>
      <c r="AA20" s="992">
        <v>500</v>
      </c>
      <c r="AB20" s="993">
        <v>0.2</v>
      </c>
      <c r="AC20" s="999">
        <v>-0.1638</v>
      </c>
      <c r="AD20" s="1000">
        <v>-0.12</v>
      </c>
      <c r="AE20" s="1001">
        <f>F20+AC20</f>
        <v>0.16649999999999998</v>
      </c>
      <c r="AF20" s="1002">
        <f>F20+AD20</f>
        <v>0.21029999999999999</v>
      </c>
      <c r="AG20" s="1001">
        <f>I20+AC20</f>
        <v>0.15039999999999998</v>
      </c>
      <c r="AH20" s="1002">
        <f>I20+AD20</f>
        <v>0.19419999999999998</v>
      </c>
      <c r="AI20" s="1001">
        <f>L20+AC20</f>
        <v>0.13350000000000001</v>
      </c>
      <c r="AJ20" s="1002">
        <f>L20+AD20</f>
        <v>0.17730000000000001</v>
      </c>
      <c r="AK20" s="921"/>
      <c r="AL20" s="990"/>
      <c r="AM20" s="990"/>
      <c r="AN20" s="921"/>
      <c r="AO20" s="921"/>
      <c r="AP20" s="921"/>
      <c r="AQ20" s="921"/>
      <c r="AR20" s="921"/>
      <c r="AS20" s="921"/>
      <c r="AT20" s="921"/>
      <c r="AU20" s="921"/>
      <c r="AV20" s="921"/>
      <c r="AW20" s="921"/>
      <c r="AX20" s="921"/>
      <c r="AY20" s="921"/>
      <c r="AZ20" s="921"/>
      <c r="BA20" s="921"/>
      <c r="BB20" s="921"/>
      <c r="BC20" s="921"/>
      <c r="BD20" s="921"/>
      <c r="BE20" s="921"/>
    </row>
    <row r="21" spans="1:57" ht="14.25" thickTop="1" thickBot="1">
      <c r="A21" s="958">
        <v>10</v>
      </c>
      <c r="B21" s="959"/>
      <c r="C21" s="972" t="s">
        <v>780</v>
      </c>
      <c r="D21" s="973">
        <v>0.13</v>
      </c>
      <c r="E21" s="973"/>
      <c r="F21" s="1003">
        <v>0.28739999999999999</v>
      </c>
      <c r="G21" s="975">
        <v>0.13</v>
      </c>
      <c r="H21" s="975"/>
      <c r="I21" s="1003">
        <v>0.27329999999999999</v>
      </c>
      <c r="J21" s="977">
        <v>0.13</v>
      </c>
      <c r="K21" s="977"/>
      <c r="L21" s="1004">
        <v>0.2586</v>
      </c>
      <c r="M21" s="979">
        <v>0.13</v>
      </c>
      <c r="N21" s="979"/>
      <c r="O21" s="1005">
        <v>0.21560000000000001</v>
      </c>
      <c r="P21" s="926"/>
      <c r="Q21" s="937"/>
      <c r="R21" s="926"/>
      <c r="S21" s="981">
        <v>0.13</v>
      </c>
      <c r="T21" s="962"/>
      <c r="U21" s="1006">
        <f>ROUND(U20*(1-S21),4)</f>
        <v>0.21110000000000001</v>
      </c>
      <c r="V21" s="926"/>
      <c r="W21" s="983">
        <v>0.13</v>
      </c>
      <c r="X21" s="1007">
        <v>0.22070000000000001</v>
      </c>
      <c r="Y21" s="926"/>
      <c r="Z21" s="937"/>
      <c r="AA21" s="992">
        <v>500</v>
      </c>
      <c r="AB21" s="993">
        <v>0.2</v>
      </c>
      <c r="AC21" s="999">
        <v>-0.1638</v>
      </c>
      <c r="AD21" s="1000">
        <v>-0.12</v>
      </c>
      <c r="AE21" s="1001">
        <f>F21+AC21</f>
        <v>0.12359999999999999</v>
      </c>
      <c r="AF21" s="1002">
        <f>F21+AD21</f>
        <v>0.16739999999999999</v>
      </c>
      <c r="AG21" s="1001">
        <f>I21+AC21</f>
        <v>0.10949999999999999</v>
      </c>
      <c r="AH21" s="1002">
        <f>I21+AD21</f>
        <v>0.15329999999999999</v>
      </c>
      <c r="AI21" s="1001">
        <f>L21+AC21</f>
        <v>9.4799999999999995E-2</v>
      </c>
      <c r="AJ21" s="1002">
        <f>L21+AD21</f>
        <v>0.1386</v>
      </c>
      <c r="AK21" s="921"/>
      <c r="AL21" s="990"/>
      <c r="AM21" s="990"/>
      <c r="AN21" s="921"/>
      <c r="AO21" s="921"/>
      <c r="AP21" s="921"/>
      <c r="AQ21" s="921"/>
      <c r="AR21" s="921"/>
      <c r="AS21" s="921"/>
      <c r="AT21" s="921"/>
      <c r="AU21" s="921"/>
      <c r="AV21" s="921"/>
      <c r="AW21" s="921"/>
      <c r="AX21" s="921"/>
      <c r="AY21" s="921"/>
      <c r="AZ21" s="921"/>
      <c r="BA21" s="921"/>
      <c r="BB21" s="921"/>
      <c r="BC21" s="921"/>
      <c r="BD21" s="921"/>
      <c r="BE21" s="921"/>
    </row>
    <row r="22" spans="1:57" ht="14.25" thickTop="1" thickBot="1">
      <c r="A22" s="958">
        <v>11</v>
      </c>
      <c r="B22" s="959"/>
      <c r="C22" s="972" t="s">
        <v>781</v>
      </c>
      <c r="D22" s="973">
        <v>0</v>
      </c>
      <c r="E22" s="973"/>
      <c r="F22" s="1003">
        <f t="shared" si="0"/>
        <v>0.28739999999999999</v>
      </c>
      <c r="G22" s="975">
        <v>0</v>
      </c>
      <c r="H22" s="975"/>
      <c r="I22" s="1003">
        <f t="shared" si="1"/>
        <v>0.27329999999999999</v>
      </c>
      <c r="J22" s="977">
        <v>0</v>
      </c>
      <c r="K22" s="977"/>
      <c r="L22" s="978">
        <f>ROUND(L21*(1-J22),4)</f>
        <v>0.2586</v>
      </c>
      <c r="M22" s="979">
        <v>0</v>
      </c>
      <c r="N22" s="979"/>
      <c r="O22" s="1005">
        <f t="shared" si="3"/>
        <v>0.21560000000000001</v>
      </c>
      <c r="P22" s="926"/>
      <c r="Q22" s="937"/>
      <c r="R22" s="926"/>
      <c r="S22" s="981">
        <v>0</v>
      </c>
      <c r="T22" s="962"/>
      <c r="U22" s="1006">
        <f>ROUND(U21*(1-S22),4)</f>
        <v>0.21110000000000001</v>
      </c>
      <c r="V22" s="926"/>
      <c r="W22" s="983">
        <v>0</v>
      </c>
      <c r="X22" s="1007">
        <f>ROUND(X21*(1-W22),4)</f>
        <v>0.22070000000000001</v>
      </c>
      <c r="Y22" s="926"/>
      <c r="Z22" s="937"/>
      <c r="AA22" s="992">
        <v>500</v>
      </c>
      <c r="AB22" s="993">
        <v>0.2</v>
      </c>
      <c r="AC22" s="999">
        <v>-0.1638</v>
      </c>
      <c r="AD22" s="1000">
        <v>-0.12</v>
      </c>
      <c r="AE22" s="1001">
        <f>F22+AC22</f>
        <v>0.12359999999999999</v>
      </c>
      <c r="AF22" s="1002">
        <f>F22+AD22</f>
        <v>0.16739999999999999</v>
      </c>
      <c r="AG22" s="1001">
        <f>I22+AC22</f>
        <v>0.10949999999999999</v>
      </c>
      <c r="AH22" s="1002">
        <f>I22+AD22</f>
        <v>0.15329999999999999</v>
      </c>
      <c r="AI22" s="1001">
        <f>L22+AC22</f>
        <v>9.4799999999999995E-2</v>
      </c>
      <c r="AJ22" s="1002">
        <f>L22+AD22</f>
        <v>0.1386</v>
      </c>
      <c r="AK22" s="921"/>
      <c r="AL22" s="990"/>
      <c r="AM22" s="990"/>
      <c r="AN22" s="921"/>
      <c r="AO22" s="921"/>
      <c r="AP22" s="921"/>
      <c r="AQ22" s="921"/>
      <c r="AR22" s="921"/>
      <c r="AS22" s="921"/>
      <c r="AT22" s="921"/>
      <c r="AU22" s="921"/>
      <c r="AV22" s="921"/>
      <c r="AW22" s="921"/>
      <c r="AX22" s="921"/>
      <c r="AY22" s="921"/>
      <c r="AZ22" s="921"/>
      <c r="BA22" s="921"/>
      <c r="BB22" s="921"/>
      <c r="BC22" s="921"/>
      <c r="BD22" s="921"/>
      <c r="BE22" s="921"/>
    </row>
    <row r="23" spans="1:57" ht="14.25" thickTop="1" thickBot="1">
      <c r="A23" s="958">
        <v>12</v>
      </c>
      <c r="B23" s="959"/>
      <c r="C23" s="1008" t="s">
        <v>782</v>
      </c>
      <c r="D23" s="973">
        <v>0.15</v>
      </c>
      <c r="E23" s="973"/>
      <c r="F23" s="1003">
        <v>0.24429999999999999</v>
      </c>
      <c r="G23" s="975">
        <v>0.15</v>
      </c>
      <c r="H23" s="975"/>
      <c r="I23" s="1003">
        <v>0.23230000000000001</v>
      </c>
      <c r="J23" s="977">
        <v>0.15</v>
      </c>
      <c r="K23" s="977"/>
      <c r="L23" s="1004">
        <v>0.2198</v>
      </c>
      <c r="M23" s="979">
        <v>0.15</v>
      </c>
      <c r="N23" s="979"/>
      <c r="O23" s="1005">
        <v>0.18329999999999999</v>
      </c>
      <c r="P23" s="926"/>
      <c r="Q23" s="937"/>
      <c r="R23" s="926"/>
      <c r="S23" s="981">
        <v>0.15</v>
      </c>
      <c r="T23" s="962"/>
      <c r="U23" s="1006">
        <v>0.1794</v>
      </c>
      <c r="V23" s="926"/>
      <c r="W23" s="983">
        <v>0.15</v>
      </c>
      <c r="X23" s="1007">
        <v>0.18759999999999999</v>
      </c>
      <c r="Y23" s="926"/>
      <c r="Z23" s="937"/>
      <c r="AA23" s="992">
        <v>500</v>
      </c>
      <c r="AB23" s="993">
        <v>0.2</v>
      </c>
      <c r="AC23" s="999">
        <v>-0.1638</v>
      </c>
      <c r="AD23" s="1000">
        <v>-0.12</v>
      </c>
      <c r="AE23" s="1001">
        <f>F23+AC23</f>
        <v>8.0499999999999988E-2</v>
      </c>
      <c r="AF23" s="1002">
        <f>F23+AD23</f>
        <v>0.12429999999999999</v>
      </c>
      <c r="AG23" s="1001">
        <f>I23+AC23</f>
        <v>6.8500000000000005E-2</v>
      </c>
      <c r="AH23" s="1002">
        <f>I23+AD23</f>
        <v>0.11230000000000001</v>
      </c>
      <c r="AI23" s="1001">
        <f>L23+AC23</f>
        <v>5.5999999999999994E-2</v>
      </c>
      <c r="AJ23" s="1002">
        <f>L23+AD23</f>
        <v>9.98E-2</v>
      </c>
      <c r="AK23" s="921"/>
      <c r="AL23" s="990"/>
      <c r="AM23" s="990"/>
      <c r="AN23" s="921"/>
      <c r="AO23" s="921"/>
      <c r="AP23" s="921"/>
      <c r="AQ23" s="921"/>
      <c r="AR23" s="921"/>
      <c r="AS23" s="921"/>
      <c r="AT23" s="921"/>
      <c r="AU23" s="921"/>
      <c r="AV23" s="921"/>
      <c r="AW23" s="921"/>
      <c r="AX23" s="921"/>
      <c r="AY23" s="921"/>
      <c r="AZ23" s="921"/>
      <c r="BA23" s="921"/>
      <c r="BB23" s="921"/>
      <c r="BC23" s="921"/>
      <c r="BD23" s="921"/>
      <c r="BE23" s="921"/>
    </row>
    <row r="24" spans="1:57" ht="15.75" thickTop="1" thickBot="1">
      <c r="A24" s="958"/>
      <c r="B24" s="959"/>
      <c r="C24" s="933" t="s">
        <v>759</v>
      </c>
      <c r="D24" s="1692" t="s">
        <v>760</v>
      </c>
      <c r="E24" s="1693"/>
      <c r="F24" s="1694"/>
      <c r="G24" s="1695" t="s">
        <v>761</v>
      </c>
      <c r="H24" s="1696"/>
      <c r="I24" s="1697"/>
      <c r="J24" s="1698" t="s">
        <v>762</v>
      </c>
      <c r="K24" s="1699"/>
      <c r="L24" s="1700"/>
      <c r="M24" s="1701" t="s">
        <v>763</v>
      </c>
      <c r="N24" s="1702"/>
      <c r="O24" s="1703"/>
      <c r="P24" s="926"/>
      <c r="Q24" s="937"/>
      <c r="R24" s="926"/>
      <c r="S24" s="1704" t="s">
        <v>764</v>
      </c>
      <c r="T24" s="1705"/>
      <c r="U24" s="1706"/>
      <c r="V24" s="926"/>
      <c r="W24" s="983"/>
      <c r="X24" s="1007"/>
      <c r="Y24" s="926"/>
      <c r="Z24" s="937"/>
      <c r="AA24" s="992"/>
      <c r="AB24" s="993"/>
      <c r="AC24" s="1009"/>
      <c r="AD24" s="1000"/>
      <c r="AE24" s="1001"/>
      <c r="AF24" s="1002"/>
      <c r="AG24" s="1001"/>
      <c r="AH24" s="1002"/>
      <c r="AI24" s="1001"/>
      <c r="AJ24" s="1002"/>
      <c r="AK24" s="921"/>
      <c r="AL24" s="1010"/>
      <c r="AM24" s="1010"/>
      <c r="AN24" s="921"/>
      <c r="AO24" s="921"/>
      <c r="AP24" s="921"/>
      <c r="AQ24" s="921"/>
      <c r="AR24" s="921"/>
      <c r="AS24" s="921"/>
      <c r="AT24" s="921"/>
      <c r="AU24" s="921"/>
      <c r="AV24" s="921"/>
      <c r="AW24" s="921"/>
      <c r="AX24" s="921"/>
      <c r="AY24" s="921"/>
      <c r="AZ24" s="921"/>
      <c r="BA24" s="921"/>
      <c r="BB24" s="921"/>
      <c r="BC24" s="921"/>
      <c r="BD24" s="921"/>
      <c r="BE24" s="921"/>
    </row>
    <row r="25" spans="1:57" ht="14.25" thickTop="1" thickBot="1">
      <c r="A25" s="958">
        <v>13</v>
      </c>
      <c r="B25" s="959">
        <v>4</v>
      </c>
      <c r="C25" s="1011" t="s">
        <v>783</v>
      </c>
      <c r="D25" s="1012"/>
      <c r="E25" s="973"/>
      <c r="F25" s="1013">
        <v>0.19500000000000001</v>
      </c>
      <c r="G25" s="975"/>
      <c r="H25" s="975"/>
      <c r="I25" s="1014">
        <v>0.185</v>
      </c>
      <c r="J25" s="947"/>
      <c r="K25" s="947"/>
      <c r="L25" s="1015">
        <v>0.16500000000000001</v>
      </c>
      <c r="M25" s="979"/>
      <c r="N25" s="979"/>
      <c r="O25" s="1016">
        <v>0.13500000000000001</v>
      </c>
      <c r="P25" s="926"/>
      <c r="Q25" s="937"/>
      <c r="R25" s="926"/>
      <c r="S25" s="981"/>
      <c r="T25" s="962"/>
      <c r="U25" s="1017">
        <v>0.13500000000000001</v>
      </c>
      <c r="V25" s="926"/>
      <c r="W25" s="983"/>
      <c r="X25" s="1007"/>
      <c r="Y25" s="926"/>
      <c r="Z25" s="1018">
        <v>10000</v>
      </c>
      <c r="AA25" s="992">
        <v>10000</v>
      </c>
      <c r="AB25" s="993">
        <v>0.2</v>
      </c>
      <c r="AC25" s="988"/>
      <c r="AD25" s="989"/>
      <c r="AE25" s="988"/>
      <c r="AF25" s="989"/>
      <c r="AG25" s="988"/>
      <c r="AH25" s="989"/>
      <c r="AI25" s="988"/>
      <c r="AJ25" s="989"/>
      <c r="AK25" s="921"/>
      <c r="AL25" s="1019">
        <v>100</v>
      </c>
      <c r="AM25" s="1019">
        <v>90</v>
      </c>
      <c r="AN25" s="921"/>
      <c r="AO25" s="921"/>
      <c r="AP25" s="921"/>
      <c r="AQ25" s="921"/>
      <c r="AR25" s="921"/>
      <c r="AS25" s="921"/>
      <c r="AT25" s="921"/>
      <c r="AU25" s="921"/>
      <c r="AV25" s="921"/>
      <c r="AW25" s="921"/>
      <c r="AX25" s="921"/>
      <c r="AY25" s="921"/>
      <c r="AZ25" s="921"/>
      <c r="BA25" s="921"/>
      <c r="BB25" s="921"/>
      <c r="BC25" s="921"/>
      <c r="BD25" s="921"/>
      <c r="BE25" s="921"/>
    </row>
    <row r="26" spans="1:57" ht="14.25" thickTop="1" thickBot="1">
      <c r="A26" s="958">
        <v>14</v>
      </c>
      <c r="B26" s="959">
        <v>5</v>
      </c>
      <c r="C26" s="1011" t="s">
        <v>784</v>
      </c>
      <c r="D26" s="1012">
        <v>0.01</v>
      </c>
      <c r="E26" s="973"/>
      <c r="F26" s="1020">
        <v>0.19309999999999999</v>
      </c>
      <c r="G26" s="975">
        <v>0.01</v>
      </c>
      <c r="H26" s="975"/>
      <c r="I26" s="1020">
        <v>0.1832</v>
      </c>
      <c r="J26" s="1021">
        <v>0.01</v>
      </c>
      <c r="K26" s="1021"/>
      <c r="L26" s="1022">
        <v>0.16339999999999999</v>
      </c>
      <c r="M26" s="979">
        <v>0.01</v>
      </c>
      <c r="N26" s="979"/>
      <c r="O26" s="1023">
        <v>0.13370000000000001</v>
      </c>
      <c r="P26" s="926"/>
      <c r="Q26" s="937"/>
      <c r="R26" s="926"/>
      <c r="S26" s="981">
        <v>0.01</v>
      </c>
      <c r="T26" s="962"/>
      <c r="U26" s="1024">
        <v>0.13370000000000001</v>
      </c>
      <c r="V26" s="926"/>
      <c r="W26" s="983"/>
      <c r="X26" s="1007"/>
      <c r="Y26" s="926"/>
      <c r="Z26" s="1018">
        <v>10000</v>
      </c>
      <c r="AA26" s="992">
        <v>10000</v>
      </c>
      <c r="AB26" s="993">
        <v>0.2</v>
      </c>
      <c r="AC26" s="988"/>
      <c r="AD26" s="989"/>
      <c r="AE26" s="988"/>
      <c r="AF26" s="989"/>
      <c r="AG26" s="988"/>
      <c r="AH26" s="989"/>
      <c r="AI26" s="988"/>
      <c r="AJ26" s="989"/>
      <c r="AK26" s="921"/>
      <c r="AL26" s="1019">
        <v>100</v>
      </c>
      <c r="AM26" s="1019">
        <v>90</v>
      </c>
      <c r="AN26" s="921"/>
      <c r="AO26" s="921"/>
      <c r="AP26" s="921"/>
      <c r="AQ26" s="921"/>
      <c r="AR26" s="921"/>
      <c r="AS26" s="921"/>
      <c r="AT26" s="921"/>
      <c r="AU26" s="921"/>
      <c r="AV26" s="921"/>
      <c r="AW26" s="921"/>
      <c r="AX26" s="921"/>
      <c r="AY26" s="921"/>
      <c r="AZ26" s="921"/>
      <c r="BA26" s="921"/>
      <c r="BB26" s="921"/>
      <c r="BC26" s="921"/>
      <c r="BD26" s="921"/>
      <c r="BE26" s="921"/>
    </row>
    <row r="27" spans="1:57" ht="14.25" thickTop="1" thickBot="1">
      <c r="A27" s="958">
        <v>15</v>
      </c>
      <c r="B27" s="959">
        <v>6</v>
      </c>
      <c r="C27" s="1011" t="s">
        <v>785</v>
      </c>
      <c r="D27" s="1012">
        <v>0.01</v>
      </c>
      <c r="E27" s="973"/>
      <c r="F27" s="1020">
        <v>0.19109999999999999</v>
      </c>
      <c r="G27" s="975">
        <v>0.01</v>
      </c>
      <c r="H27" s="975"/>
      <c r="I27" s="1020">
        <v>0.18129999999999999</v>
      </c>
      <c r="J27" s="1021">
        <v>0.01</v>
      </c>
      <c r="K27" s="1021"/>
      <c r="L27" s="1022">
        <v>0.16170000000000001</v>
      </c>
      <c r="M27" s="979">
        <v>0.01</v>
      </c>
      <c r="N27" s="979"/>
      <c r="O27" s="1023">
        <v>0.1323</v>
      </c>
      <c r="P27" s="926"/>
      <c r="Q27" s="937"/>
      <c r="R27" s="926"/>
      <c r="S27" s="981">
        <v>0.01</v>
      </c>
      <c r="T27" s="962"/>
      <c r="U27" s="1024">
        <v>0.1323</v>
      </c>
      <c r="V27" s="926"/>
      <c r="W27" s="983"/>
      <c r="X27" s="1007"/>
      <c r="Y27" s="926"/>
      <c r="Z27" s="1018">
        <v>10000</v>
      </c>
      <c r="AA27" s="992">
        <v>10000</v>
      </c>
      <c r="AB27" s="993">
        <v>0.2</v>
      </c>
      <c r="AC27" s="988"/>
      <c r="AD27" s="989"/>
      <c r="AE27" s="988"/>
      <c r="AF27" s="989"/>
      <c r="AG27" s="988"/>
      <c r="AH27" s="989"/>
      <c r="AI27" s="988"/>
      <c r="AJ27" s="989"/>
      <c r="AK27" s="921"/>
      <c r="AL27" s="1019">
        <v>100</v>
      </c>
      <c r="AM27" s="1019">
        <v>90</v>
      </c>
      <c r="AN27" s="921"/>
      <c r="AO27" s="921"/>
      <c r="AP27" s="921"/>
      <c r="AQ27" s="921"/>
      <c r="AR27" s="921"/>
      <c r="AS27" s="921"/>
      <c r="AT27" s="921"/>
      <c r="AU27" s="921"/>
      <c r="AV27" s="921"/>
      <c r="AW27" s="921"/>
      <c r="AX27" s="921"/>
      <c r="AY27" s="921"/>
      <c r="AZ27" s="921"/>
      <c r="BA27" s="921"/>
      <c r="BB27" s="921"/>
      <c r="BC27" s="921"/>
      <c r="BD27" s="921"/>
      <c r="BE27" s="921"/>
    </row>
    <row r="28" spans="1:57" ht="14.25" thickTop="1" thickBot="1">
      <c r="A28" s="958">
        <v>16</v>
      </c>
      <c r="B28" s="959">
        <v>7</v>
      </c>
      <c r="C28" s="1011" t="s">
        <v>786</v>
      </c>
      <c r="D28" s="1012">
        <v>0.01</v>
      </c>
      <c r="E28" s="973"/>
      <c r="F28" s="1020">
        <v>0.18920000000000001</v>
      </c>
      <c r="G28" s="975">
        <v>0.01</v>
      </c>
      <c r="H28" s="975"/>
      <c r="I28" s="1020">
        <v>0.17949999999999999</v>
      </c>
      <c r="J28" s="1021">
        <v>0.01</v>
      </c>
      <c r="K28" s="1021"/>
      <c r="L28" s="1022">
        <v>0.16009999999999999</v>
      </c>
      <c r="M28" s="979">
        <v>0.01</v>
      </c>
      <c r="N28" s="979"/>
      <c r="O28" s="1023">
        <v>0.13100000000000001</v>
      </c>
      <c r="P28" s="926"/>
      <c r="Q28" s="937"/>
      <c r="R28" s="926"/>
      <c r="S28" s="981">
        <v>0.01</v>
      </c>
      <c r="T28" s="962"/>
      <c r="U28" s="1024">
        <v>0.13100000000000001</v>
      </c>
      <c r="V28" s="926"/>
      <c r="W28" s="983"/>
      <c r="X28" s="1007"/>
      <c r="Y28" s="926"/>
      <c r="Z28" s="1018">
        <v>10000</v>
      </c>
      <c r="AA28" s="992">
        <v>10000</v>
      </c>
      <c r="AB28" s="993">
        <v>0.2</v>
      </c>
      <c r="AC28" s="988"/>
      <c r="AD28" s="989"/>
      <c r="AE28" s="988"/>
      <c r="AF28" s="989"/>
      <c r="AG28" s="988"/>
      <c r="AH28" s="989"/>
      <c r="AI28" s="988"/>
      <c r="AJ28" s="989"/>
      <c r="AK28" s="921"/>
      <c r="AL28" s="1019">
        <v>100</v>
      </c>
      <c r="AM28" s="1019">
        <v>90</v>
      </c>
      <c r="AN28" s="921"/>
      <c r="AO28" s="921"/>
      <c r="AP28" s="921"/>
      <c r="AQ28" s="921"/>
      <c r="AR28" s="921"/>
      <c r="AS28" s="921"/>
      <c r="AT28" s="921"/>
      <c r="AU28" s="921"/>
      <c r="AV28" s="921"/>
      <c r="AW28" s="921"/>
      <c r="AX28" s="921"/>
      <c r="AY28" s="921"/>
      <c r="AZ28" s="921"/>
      <c r="BA28" s="921"/>
      <c r="BB28" s="921"/>
      <c r="BC28" s="921"/>
      <c r="BD28" s="921"/>
      <c r="BE28" s="921"/>
    </row>
    <row r="29" spans="1:57" ht="14.25" thickTop="1" thickBot="1">
      <c r="A29" s="958">
        <v>17</v>
      </c>
      <c r="B29" s="959">
        <v>8</v>
      </c>
      <c r="C29" s="1011" t="s">
        <v>787</v>
      </c>
      <c r="D29" s="1012">
        <v>0.01</v>
      </c>
      <c r="E29" s="973"/>
      <c r="F29" s="1020">
        <v>0.18729999999999999</v>
      </c>
      <c r="G29" s="975">
        <v>0.01</v>
      </c>
      <c r="H29" s="975"/>
      <c r="I29" s="1020">
        <v>0.1777</v>
      </c>
      <c r="J29" s="1021">
        <v>0.01</v>
      </c>
      <c r="K29" s="1021"/>
      <c r="L29" s="1022">
        <v>0.1585</v>
      </c>
      <c r="M29" s="979">
        <v>0.01</v>
      </c>
      <c r="N29" s="979"/>
      <c r="O29" s="1023">
        <v>0.12970000000000001</v>
      </c>
      <c r="P29" s="926"/>
      <c r="Q29" s="937"/>
      <c r="R29" s="926"/>
      <c r="S29" s="981">
        <v>0.01</v>
      </c>
      <c r="T29" s="962"/>
      <c r="U29" s="1024">
        <v>0.12970000000000001</v>
      </c>
      <c r="V29" s="926"/>
      <c r="W29" s="983"/>
      <c r="X29" s="1007"/>
      <c r="Y29" s="926"/>
      <c r="Z29" s="1018">
        <v>10000</v>
      </c>
      <c r="AA29" s="992">
        <v>10000</v>
      </c>
      <c r="AB29" s="993">
        <v>0.2</v>
      </c>
      <c r="AC29" s="988"/>
      <c r="AD29" s="989"/>
      <c r="AE29" s="988"/>
      <c r="AF29" s="989"/>
      <c r="AG29" s="988"/>
      <c r="AH29" s="989"/>
      <c r="AI29" s="988"/>
      <c r="AJ29" s="989"/>
      <c r="AK29" s="921"/>
      <c r="AL29" s="1019">
        <v>100</v>
      </c>
      <c r="AM29" s="1019">
        <v>90</v>
      </c>
      <c r="AN29" s="921"/>
      <c r="AO29" s="921"/>
      <c r="AP29" s="921"/>
      <c r="AQ29" s="921"/>
      <c r="AR29" s="921"/>
      <c r="AS29" s="921"/>
      <c r="AT29" s="921"/>
      <c r="AU29" s="921"/>
      <c r="AV29" s="921"/>
      <c r="AW29" s="921"/>
      <c r="AX29" s="921"/>
      <c r="AY29" s="921"/>
      <c r="AZ29" s="921"/>
      <c r="BA29" s="921"/>
      <c r="BB29" s="921"/>
      <c r="BC29" s="921"/>
      <c r="BD29" s="921"/>
      <c r="BE29" s="921"/>
    </row>
    <row r="30" spans="1:57" ht="14.25" thickTop="1" thickBot="1">
      <c r="A30" s="958">
        <v>18</v>
      </c>
      <c r="B30" s="959">
        <v>9</v>
      </c>
      <c r="C30" s="1011" t="s">
        <v>788</v>
      </c>
      <c r="D30" s="1012">
        <v>0.01</v>
      </c>
      <c r="E30" s="973"/>
      <c r="F30" s="1020">
        <v>0.18540000000000001</v>
      </c>
      <c r="G30" s="975">
        <v>0.01</v>
      </c>
      <c r="H30" s="975"/>
      <c r="I30" s="1020">
        <v>0.1759</v>
      </c>
      <c r="J30" s="1021">
        <v>0.01</v>
      </c>
      <c r="K30" s="1021"/>
      <c r="L30" s="1022">
        <v>0.15690000000000001</v>
      </c>
      <c r="M30" s="979">
        <v>0.01</v>
      </c>
      <c r="N30" s="979"/>
      <c r="O30" s="1023">
        <v>0.12839999999999999</v>
      </c>
      <c r="P30" s="926"/>
      <c r="Q30" s="937"/>
      <c r="R30" s="926"/>
      <c r="S30" s="981">
        <v>0.01</v>
      </c>
      <c r="T30" s="962"/>
      <c r="U30" s="1024">
        <v>0.12839999999999999</v>
      </c>
      <c r="V30" s="926"/>
      <c r="W30" s="983"/>
      <c r="X30" s="1007"/>
      <c r="Y30" s="926"/>
      <c r="Z30" s="1018">
        <v>10000</v>
      </c>
      <c r="AA30" s="992">
        <v>10000</v>
      </c>
      <c r="AB30" s="993">
        <v>0.2</v>
      </c>
      <c r="AC30" s="988"/>
      <c r="AD30" s="989"/>
      <c r="AE30" s="988"/>
      <c r="AF30" s="989"/>
      <c r="AG30" s="988"/>
      <c r="AH30" s="989"/>
      <c r="AI30" s="988"/>
      <c r="AJ30" s="989"/>
      <c r="AK30" s="921"/>
      <c r="AL30" s="1019">
        <v>100</v>
      </c>
      <c r="AM30" s="1019">
        <v>90</v>
      </c>
      <c r="AN30" s="921"/>
      <c r="AO30" s="921"/>
      <c r="AP30" s="921"/>
      <c r="AQ30" s="921"/>
      <c r="AR30" s="921"/>
      <c r="AS30" s="921"/>
      <c r="AT30" s="921"/>
      <c r="AU30" s="921"/>
      <c r="AV30" s="921"/>
      <c r="AW30" s="921"/>
      <c r="AX30" s="921"/>
      <c r="AY30" s="921"/>
      <c r="AZ30" s="921"/>
      <c r="BA30" s="921"/>
      <c r="BB30" s="921"/>
      <c r="BC30" s="921"/>
      <c r="BD30" s="921"/>
      <c r="BE30" s="921"/>
    </row>
    <row r="31" spans="1:57" ht="14.25" thickTop="1" thickBot="1">
      <c r="A31" s="958">
        <v>19</v>
      </c>
      <c r="B31" s="959">
        <v>10</v>
      </c>
      <c r="C31" s="1011" t="s">
        <v>789</v>
      </c>
      <c r="D31" s="1012">
        <v>0.01</v>
      </c>
      <c r="E31" s="973"/>
      <c r="F31" s="1020">
        <v>0.18360000000000001</v>
      </c>
      <c r="G31" s="975">
        <v>0.01</v>
      </c>
      <c r="H31" s="975"/>
      <c r="I31" s="1020">
        <v>0.17419999999999999</v>
      </c>
      <c r="J31" s="1021">
        <v>0.01</v>
      </c>
      <c r="K31" s="1021"/>
      <c r="L31" s="1022">
        <v>0.15529999999999999</v>
      </c>
      <c r="M31" s="979">
        <v>0.01</v>
      </c>
      <c r="N31" s="979"/>
      <c r="O31" s="1023">
        <v>0.12709999999999999</v>
      </c>
      <c r="P31" s="926"/>
      <c r="Q31" s="937"/>
      <c r="R31" s="926"/>
      <c r="S31" s="981">
        <v>0.01</v>
      </c>
      <c r="T31" s="962"/>
      <c r="U31" s="1024">
        <v>0.12709999999999999</v>
      </c>
      <c r="V31" s="926"/>
      <c r="W31" s="983"/>
      <c r="X31" s="1007"/>
      <c r="Y31" s="926"/>
      <c r="Z31" s="1018">
        <v>10000</v>
      </c>
      <c r="AA31" s="992">
        <v>10000</v>
      </c>
      <c r="AB31" s="993">
        <v>0.2</v>
      </c>
      <c r="AC31" s="988"/>
      <c r="AD31" s="989"/>
      <c r="AE31" s="988"/>
      <c r="AF31" s="989"/>
      <c r="AG31" s="988"/>
      <c r="AH31" s="989"/>
      <c r="AI31" s="988"/>
      <c r="AJ31" s="989"/>
      <c r="AK31" s="921"/>
      <c r="AL31" s="1019">
        <v>100</v>
      </c>
      <c r="AM31" s="1019">
        <v>90</v>
      </c>
      <c r="AN31" s="921"/>
      <c r="AO31" s="921"/>
      <c r="AP31" s="921"/>
      <c r="AQ31" s="921"/>
      <c r="AR31" s="921"/>
      <c r="AS31" s="921"/>
      <c r="AT31" s="921"/>
      <c r="AU31" s="921"/>
      <c r="AV31" s="921"/>
      <c r="AW31" s="921"/>
      <c r="AX31" s="921"/>
      <c r="AY31" s="921"/>
      <c r="AZ31" s="921"/>
      <c r="BA31" s="921"/>
      <c r="BB31" s="921"/>
      <c r="BC31" s="921"/>
      <c r="BD31" s="921"/>
      <c r="BE31" s="921"/>
    </row>
    <row r="32" spans="1:57" ht="14.25" thickTop="1" thickBot="1">
      <c r="A32" s="958">
        <v>20</v>
      </c>
      <c r="B32" s="959">
        <v>11</v>
      </c>
      <c r="C32" s="1011" t="s">
        <v>790</v>
      </c>
      <c r="D32" s="1012">
        <v>2.5000000000000001E-2</v>
      </c>
      <c r="E32" s="973"/>
      <c r="F32" s="1020">
        <v>0.17899999999999999</v>
      </c>
      <c r="G32" s="975">
        <v>2.5000000000000001E-2</v>
      </c>
      <c r="H32" s="975"/>
      <c r="I32" s="1020">
        <v>0.16980000000000001</v>
      </c>
      <c r="J32" s="1021">
        <v>2.5000000000000001E-2</v>
      </c>
      <c r="K32" s="1021"/>
      <c r="L32" s="1022">
        <v>0.1515</v>
      </c>
      <c r="M32" s="979">
        <v>2.5000000000000001E-2</v>
      </c>
      <c r="N32" s="979"/>
      <c r="O32" s="1023">
        <v>0.1239</v>
      </c>
      <c r="P32" s="926"/>
      <c r="Q32" s="937"/>
      <c r="R32" s="926"/>
      <c r="S32" s="981">
        <v>2.5000000000000001E-2</v>
      </c>
      <c r="T32" s="962"/>
      <c r="U32" s="1024">
        <v>0.1239</v>
      </c>
      <c r="V32" s="926"/>
      <c r="W32" s="983"/>
      <c r="X32" s="1007"/>
      <c r="Y32" s="926"/>
      <c r="Z32" s="1018">
        <v>10000</v>
      </c>
      <c r="AA32" s="992">
        <v>10000</v>
      </c>
      <c r="AB32" s="993">
        <v>0.2</v>
      </c>
      <c r="AC32" s="988"/>
      <c r="AD32" s="989"/>
      <c r="AE32" s="988"/>
      <c r="AF32" s="989"/>
      <c r="AG32" s="988"/>
      <c r="AH32" s="989"/>
      <c r="AI32" s="988"/>
      <c r="AJ32" s="989"/>
      <c r="AK32" s="921"/>
      <c r="AL32" s="1019">
        <v>100</v>
      </c>
      <c r="AM32" s="1019">
        <v>90</v>
      </c>
      <c r="AN32" s="921"/>
      <c r="AO32" s="921"/>
      <c r="AP32" s="921"/>
      <c r="AQ32" s="921"/>
      <c r="AR32" s="921"/>
      <c r="AS32" s="921"/>
      <c r="AT32" s="921"/>
      <c r="AU32" s="921"/>
      <c r="AV32" s="921"/>
      <c r="AW32" s="921"/>
      <c r="AX32" s="921"/>
      <c r="AY32" s="921"/>
      <c r="AZ32" s="921"/>
      <c r="BA32" s="921"/>
      <c r="BB32" s="921"/>
      <c r="BC32" s="921"/>
      <c r="BD32" s="921"/>
      <c r="BE32" s="921"/>
    </row>
    <row r="33" spans="1:57" ht="14.25" thickTop="1" thickBot="1">
      <c r="A33" s="958">
        <v>21</v>
      </c>
      <c r="B33" s="959">
        <v>12</v>
      </c>
      <c r="C33" s="1011" t="s">
        <v>791</v>
      </c>
      <c r="D33" s="1012">
        <v>2.5000000000000001E-2</v>
      </c>
      <c r="E33" s="973"/>
      <c r="F33" s="1020">
        <v>0.17449999999999999</v>
      </c>
      <c r="G33" s="975">
        <v>2.5000000000000001E-2</v>
      </c>
      <c r="H33" s="975"/>
      <c r="I33" s="1020">
        <v>0.1656</v>
      </c>
      <c r="J33" s="1021">
        <v>2.5000000000000001E-2</v>
      </c>
      <c r="K33" s="1021"/>
      <c r="L33" s="1022">
        <v>0.1477</v>
      </c>
      <c r="M33" s="979">
        <v>2.5000000000000001E-2</v>
      </c>
      <c r="N33" s="979"/>
      <c r="O33" s="1023">
        <v>0.1208</v>
      </c>
      <c r="P33" s="926"/>
      <c r="Q33" s="937"/>
      <c r="R33" s="926"/>
      <c r="S33" s="981">
        <v>2.5000000000000001E-2</v>
      </c>
      <c r="T33" s="962"/>
      <c r="U33" s="1024">
        <v>0.1208</v>
      </c>
      <c r="V33" s="926"/>
      <c r="W33" s="983"/>
      <c r="X33" s="1007"/>
      <c r="Y33" s="926"/>
      <c r="Z33" s="1018">
        <v>10000</v>
      </c>
      <c r="AA33" s="992">
        <v>10000</v>
      </c>
      <c r="AB33" s="993">
        <v>0.2</v>
      </c>
      <c r="AC33" s="988"/>
      <c r="AD33" s="989"/>
      <c r="AE33" s="988"/>
      <c r="AF33" s="989"/>
      <c r="AG33" s="988"/>
      <c r="AH33" s="989"/>
      <c r="AI33" s="988"/>
      <c r="AJ33" s="989"/>
      <c r="AK33" s="921"/>
      <c r="AL33" s="1019">
        <v>100</v>
      </c>
      <c r="AM33" s="1019">
        <v>90</v>
      </c>
      <c r="AN33" s="921"/>
      <c r="AO33" s="921"/>
      <c r="AP33" s="921"/>
      <c r="AQ33" s="921"/>
      <c r="AR33" s="921"/>
      <c r="AS33" s="921"/>
      <c r="AT33" s="921"/>
      <c r="AU33" s="921"/>
      <c r="AV33" s="921"/>
      <c r="AW33" s="921"/>
      <c r="AX33" s="921"/>
      <c r="AY33" s="921"/>
      <c r="AZ33" s="921"/>
      <c r="BA33" s="921"/>
      <c r="BB33" s="921"/>
      <c r="BC33" s="921"/>
      <c r="BD33" s="921"/>
      <c r="BE33" s="921"/>
    </row>
    <row r="34" spans="1:57" ht="14.25" thickTop="1" thickBot="1">
      <c r="A34" s="958">
        <v>22</v>
      </c>
      <c r="B34" s="959">
        <v>1</v>
      </c>
      <c r="C34" s="1011" t="s">
        <v>792</v>
      </c>
      <c r="D34" s="1012">
        <v>2.5000000000000001E-2</v>
      </c>
      <c r="E34" s="973"/>
      <c r="F34" s="1020">
        <v>0.17019999999999999</v>
      </c>
      <c r="G34" s="975">
        <v>2.5000000000000001E-2</v>
      </c>
      <c r="H34" s="975"/>
      <c r="I34" s="1020">
        <v>0.16139999999999999</v>
      </c>
      <c r="J34" s="1021">
        <v>2.5000000000000001E-2</v>
      </c>
      <c r="K34" s="1021"/>
      <c r="L34" s="1025">
        <v>0.14399999999999999</v>
      </c>
      <c r="M34" s="979">
        <v>2.5000000000000001E-2</v>
      </c>
      <c r="N34" s="979"/>
      <c r="O34" s="1023">
        <v>0.1178</v>
      </c>
      <c r="P34" s="926"/>
      <c r="Q34" s="937"/>
      <c r="R34" s="926"/>
      <c r="S34" s="981">
        <v>2.5000000000000001E-2</v>
      </c>
      <c r="T34" s="962"/>
      <c r="U34" s="1024">
        <v>0.1178</v>
      </c>
      <c r="V34" s="926"/>
      <c r="W34" s="983"/>
      <c r="X34" s="1007"/>
      <c r="Y34" s="926"/>
      <c r="Z34" s="1018">
        <v>10000</v>
      </c>
      <c r="AA34" s="992">
        <v>10000</v>
      </c>
      <c r="AB34" s="993">
        <v>0.2</v>
      </c>
      <c r="AC34" s="988"/>
      <c r="AD34" s="989"/>
      <c r="AE34" s="988"/>
      <c r="AF34" s="989"/>
      <c r="AG34" s="988"/>
      <c r="AH34" s="989"/>
      <c r="AI34" s="988"/>
      <c r="AJ34" s="989"/>
      <c r="AK34" s="921"/>
      <c r="AL34" s="1019">
        <v>100</v>
      </c>
      <c r="AM34" s="1019">
        <v>90</v>
      </c>
      <c r="AN34" s="921"/>
      <c r="AO34" s="921"/>
      <c r="AP34" s="921"/>
      <c r="AQ34" s="921"/>
      <c r="AR34" s="921"/>
      <c r="AS34" s="921"/>
      <c r="AT34" s="921"/>
      <c r="AU34" s="921"/>
      <c r="AV34" s="921"/>
      <c r="AW34" s="921"/>
      <c r="AX34" s="921"/>
      <c r="AY34" s="921"/>
      <c r="AZ34" s="921"/>
      <c r="BA34" s="921"/>
      <c r="BB34" s="921"/>
      <c r="BC34" s="921"/>
      <c r="BD34" s="921"/>
      <c r="BE34" s="921"/>
    </row>
    <row r="35" spans="1:57" ht="14.25" thickTop="1" thickBot="1">
      <c r="A35" s="958">
        <v>23</v>
      </c>
      <c r="B35" s="959">
        <v>2</v>
      </c>
      <c r="C35" s="1011" t="s">
        <v>793</v>
      </c>
      <c r="D35" s="1012">
        <v>2.1999999999999999E-2</v>
      </c>
      <c r="E35" s="973"/>
      <c r="F35" s="1020">
        <v>0.16639999999999999</v>
      </c>
      <c r="G35" s="975">
        <f>IF($D35&gt;0,$D35,"")</f>
        <v>2.1999999999999999E-2</v>
      </c>
      <c r="H35" s="975"/>
      <c r="I35" s="1020">
        <v>0.15790000000000001</v>
      </c>
      <c r="J35" s="1021">
        <f>IF($D35&gt;0,$D35,"")</f>
        <v>2.1999999999999999E-2</v>
      </c>
      <c r="K35" s="1021"/>
      <c r="L35" s="1025">
        <v>0.14080000000000001</v>
      </c>
      <c r="M35" s="979">
        <f>IF($D35&gt;0,$D35,"")</f>
        <v>2.1999999999999999E-2</v>
      </c>
      <c r="N35" s="979"/>
      <c r="O35" s="1023">
        <v>0.1152</v>
      </c>
      <c r="P35" s="926"/>
      <c r="Q35" s="937"/>
      <c r="R35" s="926"/>
      <c r="S35" s="981">
        <f>IF($D35&gt;0,$D35,"")</f>
        <v>2.1999999999999999E-2</v>
      </c>
      <c r="T35" s="962"/>
      <c r="U35" s="1024">
        <v>0.1152</v>
      </c>
      <c r="V35" s="926"/>
      <c r="W35" s="983"/>
      <c r="X35" s="1007"/>
      <c r="Y35" s="926"/>
      <c r="Z35" s="1018">
        <v>10000</v>
      </c>
      <c r="AA35" s="992">
        <v>10000</v>
      </c>
      <c r="AB35" s="993">
        <v>0.2</v>
      </c>
      <c r="AC35" s="988"/>
      <c r="AD35" s="989"/>
      <c r="AE35" s="988"/>
      <c r="AF35" s="989"/>
      <c r="AG35" s="988"/>
      <c r="AH35" s="989"/>
      <c r="AI35" s="988"/>
      <c r="AJ35" s="989"/>
      <c r="AK35" s="921"/>
      <c r="AL35" s="1019">
        <v>100</v>
      </c>
      <c r="AM35" s="1019">
        <v>90</v>
      </c>
      <c r="AN35" s="921"/>
      <c r="AO35" s="921"/>
      <c r="AP35" s="921"/>
      <c r="AQ35" s="921"/>
      <c r="AR35" s="921"/>
      <c r="AS35" s="921"/>
      <c r="AT35" s="921"/>
      <c r="AU35" s="921"/>
      <c r="AV35" s="921"/>
      <c r="AW35" s="921"/>
      <c r="AX35" s="921"/>
      <c r="AY35" s="921"/>
      <c r="AZ35" s="921"/>
      <c r="BA35" s="921"/>
      <c r="BB35" s="921"/>
      <c r="BC35" s="921"/>
      <c r="BD35" s="921"/>
      <c r="BE35" s="921"/>
    </row>
    <row r="36" spans="1:57" ht="14.25" thickTop="1" thickBot="1">
      <c r="A36" s="958">
        <v>24</v>
      </c>
      <c r="B36" s="959">
        <v>3</v>
      </c>
      <c r="C36" s="1011" t="s">
        <v>794</v>
      </c>
      <c r="D36" s="1012">
        <v>2.1999999999999999E-2</v>
      </c>
      <c r="E36" s="973"/>
      <c r="F36" s="1020">
        <v>0.1628</v>
      </c>
      <c r="G36" s="975">
        <f t="shared" ref="G36:G52" si="5">IF($D36&gt;0,$D36,"")</f>
        <v>2.1999999999999999E-2</v>
      </c>
      <c r="H36" s="975"/>
      <c r="I36" s="1020">
        <v>0.15440000000000001</v>
      </c>
      <c r="J36" s="1021">
        <f t="shared" ref="J36:J52" si="6">IF($D36&gt;0,$D36,"")</f>
        <v>2.1999999999999999E-2</v>
      </c>
      <c r="K36" s="1021"/>
      <c r="L36" s="1025">
        <v>0.13769999999999999</v>
      </c>
      <c r="M36" s="979">
        <f t="shared" ref="M36:M52" si="7">IF($D36&gt;0,$D36,"")</f>
        <v>2.1999999999999999E-2</v>
      </c>
      <c r="N36" s="979"/>
      <c r="O36" s="1023">
        <v>0.11269999999999999</v>
      </c>
      <c r="P36" s="926"/>
      <c r="Q36" s="937"/>
      <c r="R36" s="926"/>
      <c r="S36" s="981">
        <f t="shared" ref="S36:S52" si="8">IF($D36&gt;0,$D36,"")</f>
        <v>2.1999999999999999E-2</v>
      </c>
      <c r="T36" s="962"/>
      <c r="U36" s="1024">
        <v>0.11269999999999999</v>
      </c>
      <c r="V36" s="926"/>
      <c r="W36" s="983"/>
      <c r="X36" s="1007"/>
      <c r="Y36" s="926"/>
      <c r="Z36" s="1018">
        <v>10000</v>
      </c>
      <c r="AA36" s="992">
        <v>10000</v>
      </c>
      <c r="AB36" s="993">
        <v>0.2</v>
      </c>
      <c r="AC36" s="988"/>
      <c r="AD36" s="989"/>
      <c r="AE36" s="988"/>
      <c r="AF36" s="989"/>
      <c r="AG36" s="988"/>
      <c r="AH36" s="989"/>
      <c r="AI36" s="988"/>
      <c r="AJ36" s="989"/>
      <c r="AK36" s="921"/>
      <c r="AL36" s="1019">
        <v>100</v>
      </c>
      <c r="AM36" s="1019">
        <v>90</v>
      </c>
      <c r="AN36" s="921"/>
      <c r="AO36" s="921"/>
      <c r="AP36" s="921"/>
      <c r="AQ36" s="921"/>
      <c r="AR36" s="921"/>
      <c r="AS36" s="921"/>
      <c r="AT36" s="921"/>
      <c r="AU36" s="921"/>
      <c r="AV36" s="921"/>
      <c r="AW36" s="921"/>
      <c r="AX36" s="921"/>
      <c r="AY36" s="921"/>
      <c r="AZ36" s="921"/>
      <c r="BA36" s="921"/>
      <c r="BB36" s="921"/>
      <c r="BC36" s="921"/>
      <c r="BD36" s="921"/>
      <c r="BE36" s="921"/>
    </row>
    <row r="37" spans="1:57" ht="14.25" thickTop="1" thickBot="1">
      <c r="A37" s="958">
        <v>25</v>
      </c>
      <c r="B37" s="959">
        <v>4</v>
      </c>
      <c r="C37" s="1011" t="s">
        <v>795</v>
      </c>
      <c r="D37" s="1012">
        <v>2.1999999999999999E-2</v>
      </c>
      <c r="E37" s="973"/>
      <c r="F37" s="1020">
        <v>0.15920000000000001</v>
      </c>
      <c r="G37" s="975">
        <f t="shared" si="5"/>
        <v>2.1999999999999999E-2</v>
      </c>
      <c r="H37" s="975"/>
      <c r="I37" s="1020">
        <v>0.151</v>
      </c>
      <c r="J37" s="1021">
        <f t="shared" si="6"/>
        <v>2.1999999999999999E-2</v>
      </c>
      <c r="K37" s="1021"/>
      <c r="L37" s="1025">
        <v>0.13469999999999999</v>
      </c>
      <c r="M37" s="979">
        <f t="shared" si="7"/>
        <v>2.1999999999999999E-2</v>
      </c>
      <c r="N37" s="979"/>
      <c r="O37" s="1023">
        <v>0.11020000000000001</v>
      </c>
      <c r="P37" s="926"/>
      <c r="Q37" s="937"/>
      <c r="R37" s="926"/>
      <c r="S37" s="981">
        <f t="shared" si="8"/>
        <v>2.1999999999999999E-2</v>
      </c>
      <c r="T37" s="962"/>
      <c r="U37" s="1024">
        <v>0.11020000000000001</v>
      </c>
      <c r="V37" s="926"/>
      <c r="W37" s="983"/>
      <c r="X37" s="1007"/>
      <c r="Y37" s="926"/>
      <c r="Z37" s="1018">
        <v>10000</v>
      </c>
      <c r="AA37" s="992">
        <v>10000</v>
      </c>
      <c r="AB37" s="993">
        <v>0.2</v>
      </c>
      <c r="AC37" s="988"/>
      <c r="AD37" s="989"/>
      <c r="AE37" s="988"/>
      <c r="AF37" s="989"/>
      <c r="AG37" s="988"/>
      <c r="AH37" s="989"/>
      <c r="AI37" s="988"/>
      <c r="AJ37" s="989"/>
      <c r="AK37" s="921"/>
      <c r="AL37" s="1019">
        <v>100</v>
      </c>
      <c r="AM37" s="1019">
        <v>90</v>
      </c>
      <c r="AN37" s="921"/>
      <c r="AO37" s="921"/>
      <c r="AP37" s="921"/>
      <c r="AQ37" s="921"/>
      <c r="AR37" s="921"/>
      <c r="AS37" s="921"/>
      <c r="AT37" s="921"/>
      <c r="AU37" s="921"/>
      <c r="AV37" s="921"/>
      <c r="AW37" s="921"/>
      <c r="AX37" s="921"/>
      <c r="AY37" s="921"/>
      <c r="AZ37" s="921"/>
      <c r="BA37" s="921"/>
      <c r="BB37" s="921"/>
      <c r="BC37" s="921"/>
      <c r="BD37" s="921"/>
      <c r="BE37" s="921"/>
    </row>
    <row r="38" spans="1:57" ht="14.25" thickTop="1" thickBot="1">
      <c r="A38" s="958">
        <v>26</v>
      </c>
      <c r="B38" s="959">
        <v>5</v>
      </c>
      <c r="C38" s="1011" t="s">
        <v>796</v>
      </c>
      <c r="D38" s="1012">
        <v>1.7999999999999999E-2</v>
      </c>
      <c r="E38" s="973"/>
      <c r="F38" s="1020">
        <v>0.15629999999999999</v>
      </c>
      <c r="G38" s="975">
        <f t="shared" si="5"/>
        <v>1.7999999999999999E-2</v>
      </c>
      <c r="H38" s="975"/>
      <c r="I38" s="1020">
        <v>0.14829999999999999</v>
      </c>
      <c r="J38" s="1021">
        <f t="shared" si="6"/>
        <v>1.7999999999999999E-2</v>
      </c>
      <c r="K38" s="1021"/>
      <c r="L38" s="1025">
        <v>0.1323</v>
      </c>
      <c r="M38" s="979">
        <f t="shared" si="7"/>
        <v>1.7999999999999999E-2</v>
      </c>
      <c r="N38" s="979"/>
      <c r="O38" s="1023">
        <v>0.1082</v>
      </c>
      <c r="P38" s="926"/>
      <c r="Q38" s="937"/>
      <c r="R38" s="926"/>
      <c r="S38" s="981">
        <f t="shared" si="8"/>
        <v>1.7999999999999999E-2</v>
      </c>
      <c r="T38" s="962"/>
      <c r="U38" s="1023">
        <v>0.1082</v>
      </c>
      <c r="V38" s="926"/>
      <c r="W38" s="983"/>
      <c r="X38" s="1007"/>
      <c r="Y38" s="926"/>
      <c r="Z38" s="1018">
        <v>10000</v>
      </c>
      <c r="AA38" s="992">
        <v>10000</v>
      </c>
      <c r="AB38" s="993">
        <v>0.2</v>
      </c>
      <c r="AC38" s="988"/>
      <c r="AD38" s="989"/>
      <c r="AE38" s="988"/>
      <c r="AF38" s="989"/>
      <c r="AG38" s="988"/>
      <c r="AH38" s="989"/>
      <c r="AI38" s="988"/>
      <c r="AJ38" s="989"/>
      <c r="AK38" s="921"/>
      <c r="AL38" s="1019">
        <v>100</v>
      </c>
      <c r="AM38" s="1019">
        <v>90</v>
      </c>
      <c r="AN38" s="921"/>
      <c r="AO38" s="921"/>
      <c r="AP38" s="921"/>
      <c r="AQ38" s="921"/>
      <c r="AR38" s="921"/>
      <c r="AS38" s="921"/>
      <c r="AT38" s="921"/>
      <c r="AU38" s="921"/>
      <c r="AV38" s="921"/>
      <c r="AW38" s="921"/>
      <c r="AX38" s="921"/>
      <c r="AY38" s="921"/>
      <c r="AZ38" s="921"/>
      <c r="BA38" s="921"/>
      <c r="BB38" s="921"/>
      <c r="BC38" s="921"/>
      <c r="BD38" s="921"/>
      <c r="BE38" s="921"/>
    </row>
    <row r="39" spans="1:57" ht="14.25" thickTop="1" thickBot="1">
      <c r="A39" s="958">
        <v>27</v>
      </c>
      <c r="B39" s="959">
        <v>6</v>
      </c>
      <c r="C39" s="1011" t="s">
        <v>797</v>
      </c>
      <c r="D39" s="1012">
        <v>1.7999999999999999E-2</v>
      </c>
      <c r="E39" s="973"/>
      <c r="F39" s="1020">
        <v>0.1535</v>
      </c>
      <c r="G39" s="975">
        <f t="shared" si="5"/>
        <v>1.7999999999999999E-2</v>
      </c>
      <c r="H39" s="975"/>
      <c r="I39" s="1020">
        <v>0.14560000000000001</v>
      </c>
      <c r="J39" s="1021">
        <f t="shared" si="6"/>
        <v>1.7999999999999999E-2</v>
      </c>
      <c r="K39" s="1021"/>
      <c r="L39" s="1025">
        <v>0.12989999999999999</v>
      </c>
      <c r="M39" s="979">
        <f t="shared" si="7"/>
        <v>1.7999999999999999E-2</v>
      </c>
      <c r="N39" s="979"/>
      <c r="O39" s="1023">
        <v>0.10630000000000001</v>
      </c>
      <c r="P39" s="926"/>
      <c r="Q39" s="937"/>
      <c r="R39" s="926"/>
      <c r="S39" s="981">
        <f t="shared" si="8"/>
        <v>1.7999999999999999E-2</v>
      </c>
      <c r="T39" s="962"/>
      <c r="U39" s="1023">
        <v>0.10630000000000001</v>
      </c>
      <c r="V39" s="926"/>
      <c r="W39" s="983"/>
      <c r="X39" s="1007"/>
      <c r="Y39" s="926"/>
      <c r="Z39" s="1018">
        <v>10000</v>
      </c>
      <c r="AA39" s="992">
        <v>10000</v>
      </c>
      <c r="AB39" s="993">
        <v>0.2</v>
      </c>
      <c r="AC39" s="988"/>
      <c r="AD39" s="989"/>
      <c r="AE39" s="988"/>
      <c r="AF39" s="989"/>
      <c r="AG39" s="988"/>
      <c r="AH39" s="989"/>
      <c r="AI39" s="988"/>
      <c r="AJ39" s="989"/>
      <c r="AK39" s="921"/>
      <c r="AL39" s="1019">
        <v>100</v>
      </c>
      <c r="AM39" s="1019">
        <v>90</v>
      </c>
      <c r="AN39" s="921"/>
      <c r="AO39" s="921"/>
      <c r="AP39" s="921"/>
      <c r="AQ39" s="921"/>
      <c r="AR39" s="921"/>
      <c r="AS39" s="921"/>
      <c r="AT39" s="921"/>
      <c r="AU39" s="921"/>
      <c r="AV39" s="921"/>
      <c r="AW39" s="921"/>
      <c r="AX39" s="921"/>
      <c r="AY39" s="921"/>
      <c r="AZ39" s="921"/>
      <c r="BA39" s="921"/>
      <c r="BB39" s="921"/>
      <c r="BC39" s="921"/>
      <c r="BD39" s="921"/>
      <c r="BE39" s="921"/>
    </row>
    <row r="40" spans="1:57" ht="14.25" thickTop="1" thickBot="1">
      <c r="A40" s="958">
        <v>28</v>
      </c>
      <c r="B40" s="959">
        <v>7</v>
      </c>
      <c r="C40" s="1011" t="s">
        <v>798</v>
      </c>
      <c r="D40" s="1012">
        <v>1.7999999999999999E-2</v>
      </c>
      <c r="E40" s="973"/>
      <c r="F40" s="1020">
        <v>0.1507</v>
      </c>
      <c r="G40" s="975">
        <f t="shared" si="5"/>
        <v>1.7999999999999999E-2</v>
      </c>
      <c r="H40" s="975"/>
      <c r="I40" s="1020">
        <v>0.14299999999999999</v>
      </c>
      <c r="J40" s="1021">
        <f t="shared" si="6"/>
        <v>1.7999999999999999E-2</v>
      </c>
      <c r="K40" s="1021"/>
      <c r="L40" s="1025">
        <v>0.1275</v>
      </c>
      <c r="M40" s="979">
        <f t="shared" si="7"/>
        <v>1.7999999999999999E-2</v>
      </c>
      <c r="N40" s="979"/>
      <c r="O40" s="1023">
        <v>0.10440000000000001</v>
      </c>
      <c r="P40" s="926"/>
      <c r="Q40" s="937"/>
      <c r="R40" s="926"/>
      <c r="S40" s="981">
        <f t="shared" si="8"/>
        <v>1.7999999999999999E-2</v>
      </c>
      <c r="T40" s="962"/>
      <c r="U40" s="1023">
        <v>0.10440000000000001</v>
      </c>
      <c r="V40" s="926"/>
      <c r="W40" s="983"/>
      <c r="X40" s="1007"/>
      <c r="Y40" s="926"/>
      <c r="Z40" s="1018">
        <v>10000</v>
      </c>
      <c r="AA40" s="992">
        <v>10000</v>
      </c>
      <c r="AB40" s="993">
        <v>0.2</v>
      </c>
      <c r="AC40" s="988"/>
      <c r="AD40" s="989"/>
      <c r="AE40" s="988"/>
      <c r="AF40" s="989"/>
      <c r="AG40" s="988"/>
      <c r="AH40" s="989"/>
      <c r="AI40" s="988"/>
      <c r="AJ40" s="989"/>
      <c r="AK40" s="921"/>
      <c r="AL40" s="1019">
        <v>100</v>
      </c>
      <c r="AM40" s="1019">
        <v>90</v>
      </c>
      <c r="AN40" s="921"/>
      <c r="AO40" s="921"/>
      <c r="AP40" s="921"/>
      <c r="AQ40" s="921"/>
      <c r="AR40" s="921"/>
      <c r="AS40" s="921"/>
      <c r="AT40" s="921"/>
      <c r="AU40" s="921"/>
      <c r="AV40" s="921"/>
      <c r="AW40" s="921"/>
      <c r="AX40" s="921"/>
      <c r="AY40" s="921"/>
      <c r="AZ40" s="921"/>
      <c r="BA40" s="921"/>
      <c r="BB40" s="921"/>
      <c r="BC40" s="921"/>
      <c r="BD40" s="921"/>
      <c r="BE40" s="921"/>
    </row>
    <row r="41" spans="1:57" ht="14.25" thickTop="1" thickBot="1">
      <c r="A41" s="958">
        <v>29</v>
      </c>
      <c r="B41" s="959">
        <v>8</v>
      </c>
      <c r="C41" s="1011" t="s">
        <v>799</v>
      </c>
      <c r="D41" s="1012">
        <v>1.7999999999999999E-2</v>
      </c>
      <c r="E41" s="973"/>
      <c r="F41" s="1020">
        <v>0.14799999999999999</v>
      </c>
      <c r="G41" s="975">
        <f t="shared" si="5"/>
        <v>1.7999999999999999E-2</v>
      </c>
      <c r="H41" s="975"/>
      <c r="I41" s="1020">
        <v>0.1404</v>
      </c>
      <c r="J41" s="1021">
        <f t="shared" si="6"/>
        <v>1.7999999999999999E-2</v>
      </c>
      <c r="K41" s="1021"/>
      <c r="L41" s="1025">
        <v>0.12520000000000001</v>
      </c>
      <c r="M41" s="979">
        <f t="shared" si="7"/>
        <v>1.7999999999999999E-2</v>
      </c>
      <c r="N41" s="979"/>
      <c r="O41" s="1023">
        <v>0.10249999999999999</v>
      </c>
      <c r="P41" s="926"/>
      <c r="Q41" s="937"/>
      <c r="R41" s="926"/>
      <c r="S41" s="981">
        <f t="shared" si="8"/>
        <v>1.7999999999999999E-2</v>
      </c>
      <c r="T41" s="962"/>
      <c r="U41" s="1023">
        <v>0.10249999999999999</v>
      </c>
      <c r="V41" s="926"/>
      <c r="W41" s="983"/>
      <c r="X41" s="1007"/>
      <c r="Y41" s="926"/>
      <c r="Z41" s="1018">
        <v>10000</v>
      </c>
      <c r="AA41" s="992">
        <v>10000</v>
      </c>
      <c r="AB41" s="993">
        <v>0.2</v>
      </c>
      <c r="AC41" s="988"/>
      <c r="AD41" s="989"/>
      <c r="AE41" s="988"/>
      <c r="AF41" s="989"/>
      <c r="AG41" s="988"/>
      <c r="AH41" s="989"/>
      <c r="AI41" s="988"/>
      <c r="AJ41" s="989"/>
      <c r="AK41" s="921"/>
      <c r="AL41" s="1019">
        <v>100</v>
      </c>
      <c r="AM41" s="1019">
        <v>90</v>
      </c>
      <c r="AN41" s="921"/>
      <c r="AO41" s="921"/>
      <c r="AP41" s="921"/>
      <c r="AQ41" s="921"/>
      <c r="AR41" s="921"/>
      <c r="AS41" s="921"/>
      <c r="AT41" s="921"/>
      <c r="AU41" s="921"/>
      <c r="AV41" s="921"/>
      <c r="AW41" s="921"/>
      <c r="AX41" s="921"/>
      <c r="AY41" s="921"/>
      <c r="AZ41" s="921"/>
      <c r="BA41" s="921"/>
      <c r="BB41" s="921"/>
      <c r="BC41" s="921"/>
      <c r="BD41" s="921"/>
      <c r="BE41" s="921"/>
    </row>
    <row r="42" spans="1:57" ht="14.25" thickTop="1" thickBot="1">
      <c r="A42" s="958">
        <v>30</v>
      </c>
      <c r="B42" s="959">
        <v>9</v>
      </c>
      <c r="C42" s="1011" t="s">
        <v>800</v>
      </c>
      <c r="D42" s="1012">
        <v>1.7999999999999999E-2</v>
      </c>
      <c r="E42" s="973"/>
      <c r="F42" s="1020">
        <v>0.1454</v>
      </c>
      <c r="G42" s="975">
        <f t="shared" si="5"/>
        <v>1.7999999999999999E-2</v>
      </c>
      <c r="H42" s="975"/>
      <c r="I42" s="1020">
        <v>0.13789999999999999</v>
      </c>
      <c r="J42" s="1021">
        <f t="shared" si="6"/>
        <v>1.7999999999999999E-2</v>
      </c>
      <c r="K42" s="1021"/>
      <c r="L42" s="1025">
        <v>0.123</v>
      </c>
      <c r="M42" s="979">
        <f t="shared" si="7"/>
        <v>1.7999999999999999E-2</v>
      </c>
      <c r="N42" s="979"/>
      <c r="O42" s="1023">
        <v>0.10059999999999999</v>
      </c>
      <c r="P42" s="926"/>
      <c r="Q42" s="937"/>
      <c r="R42" s="926"/>
      <c r="S42" s="981">
        <f t="shared" si="8"/>
        <v>1.7999999999999999E-2</v>
      </c>
      <c r="T42" s="962"/>
      <c r="U42" s="1023">
        <v>0.10059999999999999</v>
      </c>
      <c r="V42" s="926"/>
      <c r="W42" s="983"/>
      <c r="X42" s="1007"/>
      <c r="Y42" s="926"/>
      <c r="Z42" s="1018">
        <v>10000</v>
      </c>
      <c r="AA42" s="992">
        <v>10000</v>
      </c>
      <c r="AB42" s="993">
        <v>0.2</v>
      </c>
      <c r="AC42" s="988"/>
      <c r="AD42" s="989"/>
      <c r="AE42" s="988"/>
      <c r="AF42" s="989"/>
      <c r="AG42" s="988"/>
      <c r="AH42" s="989"/>
      <c r="AI42" s="988"/>
      <c r="AJ42" s="989"/>
      <c r="AK42" s="921"/>
      <c r="AL42" s="1019">
        <v>100</v>
      </c>
      <c r="AM42" s="1019">
        <v>90</v>
      </c>
      <c r="AN42" s="921"/>
      <c r="AO42" s="921"/>
      <c r="AP42" s="921"/>
      <c r="AQ42" s="921"/>
      <c r="AR42" s="921"/>
      <c r="AS42" s="921"/>
      <c r="AT42" s="921"/>
      <c r="AU42" s="921"/>
      <c r="AV42" s="921"/>
      <c r="AW42" s="921"/>
      <c r="AX42" s="921"/>
      <c r="AY42" s="921"/>
      <c r="AZ42" s="921"/>
      <c r="BA42" s="921"/>
      <c r="BB42" s="921"/>
      <c r="BC42" s="921"/>
      <c r="BD42" s="921"/>
      <c r="BE42" s="921"/>
    </row>
    <row r="43" spans="1:57" ht="14.25" thickTop="1" thickBot="1">
      <c r="A43" s="958">
        <v>31</v>
      </c>
      <c r="B43" s="959">
        <v>10</v>
      </c>
      <c r="C43" s="1011" t="s">
        <v>801</v>
      </c>
      <c r="D43" s="1012">
        <v>1.7999999999999999E-2</v>
      </c>
      <c r="E43" s="973"/>
      <c r="F43" s="1020">
        <v>0.14269999999999999</v>
      </c>
      <c r="G43" s="975">
        <f t="shared" si="5"/>
        <v>1.7999999999999999E-2</v>
      </c>
      <c r="H43" s="975"/>
      <c r="I43" s="1020">
        <v>0.13539999999999999</v>
      </c>
      <c r="J43" s="1021">
        <f t="shared" si="6"/>
        <v>1.7999999999999999E-2</v>
      </c>
      <c r="K43" s="1021"/>
      <c r="L43" s="1025">
        <v>0.1208</v>
      </c>
      <c r="M43" s="979">
        <f t="shared" si="7"/>
        <v>1.7999999999999999E-2</v>
      </c>
      <c r="N43" s="979"/>
      <c r="O43" s="1023">
        <v>9.8799999999999999E-2</v>
      </c>
      <c r="P43" s="926"/>
      <c r="Q43" s="937"/>
      <c r="R43" s="926"/>
      <c r="S43" s="981">
        <f t="shared" si="8"/>
        <v>1.7999999999999999E-2</v>
      </c>
      <c r="T43" s="962"/>
      <c r="U43" s="1023">
        <v>9.8799999999999999E-2</v>
      </c>
      <c r="V43" s="926"/>
      <c r="W43" s="983"/>
      <c r="X43" s="1007"/>
      <c r="Y43" s="926"/>
      <c r="Z43" s="1018">
        <v>10000</v>
      </c>
      <c r="AA43" s="992">
        <v>10000</v>
      </c>
      <c r="AB43" s="993">
        <v>0.2</v>
      </c>
      <c r="AC43" s="988"/>
      <c r="AD43" s="989"/>
      <c r="AE43" s="988"/>
      <c r="AF43" s="989"/>
      <c r="AG43" s="988"/>
      <c r="AH43" s="989"/>
      <c r="AI43" s="988"/>
      <c r="AJ43" s="989"/>
      <c r="AK43" s="921"/>
      <c r="AL43" s="1019">
        <v>100</v>
      </c>
      <c r="AM43" s="1019">
        <v>90</v>
      </c>
      <c r="AN43" s="921"/>
      <c r="AO43" s="921"/>
      <c r="AP43" s="921"/>
      <c r="AQ43" s="921"/>
      <c r="AR43" s="921"/>
      <c r="AS43" s="921"/>
      <c r="AT43" s="921"/>
      <c r="AU43" s="921"/>
      <c r="AV43" s="921"/>
      <c r="AW43" s="921"/>
      <c r="AX43" s="921"/>
      <c r="AY43" s="921"/>
      <c r="AZ43" s="921"/>
      <c r="BA43" s="921"/>
      <c r="BB43" s="921"/>
      <c r="BC43" s="921"/>
      <c r="BD43" s="921"/>
      <c r="BE43" s="921"/>
    </row>
    <row r="44" spans="1:57" ht="14.25" thickTop="1" thickBot="1">
      <c r="A44" s="958">
        <v>32</v>
      </c>
      <c r="B44" s="959">
        <v>11</v>
      </c>
      <c r="C44" s="1011" t="s">
        <v>802</v>
      </c>
      <c r="D44" s="1012">
        <v>1.4E-2</v>
      </c>
      <c r="E44" s="973"/>
      <c r="F44" s="1020">
        <v>0.14069999999999999</v>
      </c>
      <c r="G44" s="975">
        <f t="shared" si="5"/>
        <v>1.4E-2</v>
      </c>
      <c r="H44" s="975"/>
      <c r="I44" s="1020">
        <v>0.13350000000000001</v>
      </c>
      <c r="J44" s="1021">
        <f t="shared" si="6"/>
        <v>1.4E-2</v>
      </c>
      <c r="K44" s="1021"/>
      <c r="L44" s="1025">
        <v>0.1191</v>
      </c>
      <c r="M44" s="979">
        <f t="shared" si="7"/>
        <v>1.4E-2</v>
      </c>
      <c r="N44" s="979"/>
      <c r="O44" s="1023">
        <v>9.74E-2</v>
      </c>
      <c r="P44" s="926"/>
      <c r="Q44" s="937"/>
      <c r="R44" s="926"/>
      <c r="S44" s="981">
        <f t="shared" si="8"/>
        <v>1.4E-2</v>
      </c>
      <c r="T44" s="962"/>
      <c r="U44" s="1023">
        <v>9.74E-2</v>
      </c>
      <c r="V44" s="926"/>
      <c r="W44" s="983"/>
      <c r="X44" s="1007"/>
      <c r="Y44" s="926"/>
      <c r="Z44" s="1018">
        <v>10000</v>
      </c>
      <c r="AA44" s="992">
        <v>10000</v>
      </c>
      <c r="AB44" s="993">
        <v>0.2</v>
      </c>
      <c r="AC44" s="988"/>
      <c r="AD44" s="989"/>
      <c r="AE44" s="988"/>
      <c r="AF44" s="989"/>
      <c r="AG44" s="988"/>
      <c r="AH44" s="989"/>
      <c r="AI44" s="988"/>
      <c r="AJ44" s="989"/>
      <c r="AK44" s="921"/>
      <c r="AL44" s="1019">
        <v>100</v>
      </c>
      <c r="AM44" s="1019">
        <v>90</v>
      </c>
      <c r="AN44" s="921"/>
      <c r="AO44" s="921"/>
      <c r="AP44" s="921"/>
      <c r="AQ44" s="921"/>
      <c r="AR44" s="921"/>
      <c r="AS44" s="921"/>
      <c r="AT44" s="921"/>
      <c r="AU44" s="921"/>
      <c r="AV44" s="921"/>
      <c r="AW44" s="921"/>
      <c r="AX44" s="921"/>
      <c r="AY44" s="921"/>
      <c r="AZ44" s="921"/>
      <c r="BA44" s="921"/>
      <c r="BB44" s="921"/>
      <c r="BC44" s="921"/>
      <c r="BD44" s="921"/>
      <c r="BE44" s="921"/>
    </row>
    <row r="45" spans="1:57" ht="14.25" thickTop="1" thickBot="1">
      <c r="A45" s="958">
        <v>33</v>
      </c>
      <c r="B45" s="959">
        <v>12</v>
      </c>
      <c r="C45" s="1011" t="s">
        <v>803</v>
      </c>
      <c r="D45" s="1012">
        <v>1.4E-2</v>
      </c>
      <c r="E45" s="973"/>
      <c r="F45" s="1020">
        <v>0.13880000000000001</v>
      </c>
      <c r="G45" s="975">
        <f t="shared" si="5"/>
        <v>1.4E-2</v>
      </c>
      <c r="H45" s="975"/>
      <c r="I45" s="1020">
        <v>0.13170000000000001</v>
      </c>
      <c r="J45" s="1021">
        <f t="shared" si="6"/>
        <v>1.4E-2</v>
      </c>
      <c r="K45" s="1021"/>
      <c r="L45" s="1025">
        <v>0.1174</v>
      </c>
      <c r="M45" s="979">
        <f t="shared" si="7"/>
        <v>1.4E-2</v>
      </c>
      <c r="N45" s="979"/>
      <c r="O45" s="1023">
        <v>9.6100000000000005E-2</v>
      </c>
      <c r="P45" s="926"/>
      <c r="Q45" s="937"/>
      <c r="R45" s="926"/>
      <c r="S45" s="981">
        <f t="shared" si="8"/>
        <v>1.4E-2</v>
      </c>
      <c r="T45" s="962"/>
      <c r="U45" s="1023">
        <v>9.6100000000000005E-2</v>
      </c>
      <c r="V45" s="926"/>
      <c r="W45" s="983"/>
      <c r="X45" s="998"/>
      <c r="Y45" s="926"/>
      <c r="Z45" s="1018">
        <v>10000</v>
      </c>
      <c r="AA45" s="992">
        <v>10000</v>
      </c>
      <c r="AB45" s="993">
        <v>0.2</v>
      </c>
      <c r="AC45" s="988"/>
      <c r="AD45" s="989"/>
      <c r="AE45" s="988"/>
      <c r="AF45" s="989"/>
      <c r="AG45" s="988"/>
      <c r="AH45" s="989"/>
      <c r="AI45" s="988"/>
      <c r="AJ45" s="989"/>
      <c r="AK45" s="921"/>
      <c r="AL45" s="1019">
        <v>100</v>
      </c>
      <c r="AM45" s="1019">
        <v>90</v>
      </c>
      <c r="AN45" s="921"/>
      <c r="AO45" s="921"/>
      <c r="AP45" s="921"/>
      <c r="AQ45" s="921"/>
      <c r="AR45" s="921"/>
      <c r="AS45" s="921"/>
      <c r="AT45" s="921"/>
      <c r="AU45" s="921"/>
      <c r="AV45" s="921"/>
      <c r="AW45" s="921"/>
      <c r="AX45" s="921"/>
      <c r="AY45" s="921"/>
      <c r="AZ45" s="921"/>
      <c r="BA45" s="921"/>
      <c r="BB45" s="921"/>
      <c r="BC45" s="921"/>
      <c r="BD45" s="921"/>
      <c r="BE45" s="921"/>
    </row>
    <row r="46" spans="1:57" ht="14.25" thickTop="1" thickBot="1">
      <c r="A46" s="958">
        <v>34</v>
      </c>
      <c r="B46" s="959">
        <v>1</v>
      </c>
      <c r="C46" s="1011" t="s">
        <v>804</v>
      </c>
      <c r="D46" s="1012">
        <v>1.4E-2</v>
      </c>
      <c r="E46" s="973"/>
      <c r="F46" s="1020">
        <v>0.1368</v>
      </c>
      <c r="G46" s="975">
        <f t="shared" si="5"/>
        <v>1.4E-2</v>
      </c>
      <c r="H46" s="975"/>
      <c r="I46" s="1020">
        <v>0.1298</v>
      </c>
      <c r="J46" s="1021">
        <f t="shared" si="6"/>
        <v>1.4E-2</v>
      </c>
      <c r="K46" s="1021"/>
      <c r="L46" s="1025">
        <v>0.1158</v>
      </c>
      <c r="M46" s="979">
        <f t="shared" si="7"/>
        <v>1.4E-2</v>
      </c>
      <c r="N46" s="979"/>
      <c r="O46" s="1023">
        <v>9.4700000000000006E-2</v>
      </c>
      <c r="P46" s="926"/>
      <c r="Q46" s="937"/>
      <c r="R46" s="926"/>
      <c r="S46" s="981">
        <f t="shared" si="8"/>
        <v>1.4E-2</v>
      </c>
      <c r="T46" s="962"/>
      <c r="U46" s="1023">
        <v>9.4700000000000006E-2</v>
      </c>
      <c r="V46" s="926"/>
      <c r="W46" s="983"/>
      <c r="X46" s="998"/>
      <c r="Y46" s="926"/>
      <c r="Z46" s="1018">
        <v>10000</v>
      </c>
      <c r="AA46" s="992">
        <v>10000</v>
      </c>
      <c r="AB46" s="993">
        <v>0.2</v>
      </c>
      <c r="AC46" s="988"/>
      <c r="AD46" s="989"/>
      <c r="AE46" s="988"/>
      <c r="AF46" s="989"/>
      <c r="AG46" s="988"/>
      <c r="AH46" s="989"/>
      <c r="AI46" s="988"/>
      <c r="AJ46" s="989"/>
      <c r="AK46" s="921"/>
      <c r="AL46" s="1019">
        <v>100</v>
      </c>
      <c r="AM46" s="1019">
        <v>90</v>
      </c>
      <c r="AN46" s="921"/>
      <c r="AO46" s="921"/>
      <c r="AP46" s="921"/>
      <c r="AQ46" s="921"/>
      <c r="AR46" s="921"/>
      <c r="AS46" s="921"/>
      <c r="AT46" s="921"/>
      <c r="AU46" s="921"/>
      <c r="AV46" s="921"/>
      <c r="AW46" s="921"/>
      <c r="AX46" s="921"/>
      <c r="AY46" s="921"/>
      <c r="AZ46" s="921"/>
      <c r="BA46" s="921"/>
      <c r="BB46" s="921"/>
      <c r="BC46" s="921"/>
      <c r="BD46" s="921"/>
      <c r="BE46" s="921"/>
    </row>
    <row r="47" spans="1:57" ht="14.25" thickTop="1" thickBot="1">
      <c r="A47" s="958">
        <v>35</v>
      </c>
      <c r="B47" s="959">
        <v>2</v>
      </c>
      <c r="C47" s="1011" t="s">
        <v>805</v>
      </c>
      <c r="D47" s="1012">
        <v>0.01</v>
      </c>
      <c r="E47" s="973"/>
      <c r="F47" s="1020">
        <v>0.13550000000000001</v>
      </c>
      <c r="G47" s="975">
        <f t="shared" si="5"/>
        <v>0.01</v>
      </c>
      <c r="H47" s="975"/>
      <c r="I47" s="1020">
        <v>0.1285</v>
      </c>
      <c r="J47" s="1021">
        <f t="shared" si="6"/>
        <v>0.01</v>
      </c>
      <c r="K47" s="1021"/>
      <c r="L47" s="1025">
        <v>0.11459999999999999</v>
      </c>
      <c r="M47" s="979">
        <f t="shared" si="7"/>
        <v>0.01</v>
      </c>
      <c r="N47" s="979"/>
      <c r="O47" s="1023">
        <v>9.3799999999999994E-2</v>
      </c>
      <c r="P47" s="926"/>
      <c r="Q47" s="937"/>
      <c r="R47" s="926"/>
      <c r="S47" s="981">
        <f t="shared" si="8"/>
        <v>0.01</v>
      </c>
      <c r="T47" s="962"/>
      <c r="U47" s="1023">
        <f>IF($D47&gt;0,ROUND(U46*(1-$D47),4),0)</f>
        <v>9.3799999999999994E-2</v>
      </c>
      <c r="V47" s="926"/>
      <c r="W47" s="983"/>
      <c r="X47" s="998"/>
      <c r="Y47" s="926"/>
      <c r="Z47" s="1018">
        <v>10000</v>
      </c>
      <c r="AA47" s="992">
        <v>10000</v>
      </c>
      <c r="AB47" s="993">
        <v>0.2</v>
      </c>
      <c r="AC47" s="988"/>
      <c r="AD47" s="989"/>
      <c r="AE47" s="988"/>
      <c r="AF47" s="989"/>
      <c r="AG47" s="988"/>
      <c r="AH47" s="989"/>
      <c r="AI47" s="988"/>
      <c r="AJ47" s="989"/>
      <c r="AK47" s="921"/>
      <c r="AL47" s="1019">
        <v>100</v>
      </c>
      <c r="AM47" s="1019">
        <v>90</v>
      </c>
      <c r="AN47" s="921"/>
      <c r="AO47" s="921"/>
      <c r="AP47" s="921"/>
      <c r="AQ47" s="921"/>
      <c r="AR47" s="921"/>
      <c r="AS47" s="921"/>
      <c r="AT47" s="921"/>
      <c r="AU47" s="921"/>
      <c r="AV47" s="921"/>
      <c r="AW47" s="921"/>
      <c r="AX47" s="921"/>
      <c r="AY47" s="921"/>
      <c r="AZ47" s="921"/>
      <c r="BA47" s="921"/>
      <c r="BB47" s="921"/>
      <c r="BC47" s="921"/>
      <c r="BD47" s="921"/>
      <c r="BE47" s="921"/>
    </row>
    <row r="48" spans="1:57" ht="14.25" thickTop="1" thickBot="1">
      <c r="A48" s="958">
        <v>36</v>
      </c>
      <c r="B48" s="959">
        <v>3</v>
      </c>
      <c r="C48" s="1011" t="s">
        <v>806</v>
      </c>
      <c r="D48" s="1012">
        <v>0.01</v>
      </c>
      <c r="E48" s="973"/>
      <c r="F48" s="1020">
        <v>0.1341</v>
      </c>
      <c r="G48" s="975">
        <f t="shared" si="5"/>
        <v>0.01</v>
      </c>
      <c r="H48" s="975"/>
      <c r="I48" s="1020">
        <v>0.12720000000000001</v>
      </c>
      <c r="J48" s="1021">
        <f t="shared" si="6"/>
        <v>0.01</v>
      </c>
      <c r="K48" s="1021"/>
      <c r="L48" s="1025">
        <v>0.1135</v>
      </c>
      <c r="M48" s="979">
        <f t="shared" si="7"/>
        <v>0.01</v>
      </c>
      <c r="N48" s="979"/>
      <c r="O48" s="1023">
        <v>9.2799999999999994E-2</v>
      </c>
      <c r="P48" s="926"/>
      <c r="Q48" s="937"/>
      <c r="R48" s="926"/>
      <c r="S48" s="981">
        <f t="shared" si="8"/>
        <v>0.01</v>
      </c>
      <c r="T48" s="962"/>
      <c r="U48" s="1023">
        <v>9.2799999999999994E-2</v>
      </c>
      <c r="V48" s="926"/>
      <c r="W48" s="983"/>
      <c r="X48" s="998"/>
      <c r="Y48" s="926"/>
      <c r="Z48" s="1018">
        <v>10000</v>
      </c>
      <c r="AA48" s="992">
        <v>10000</v>
      </c>
      <c r="AB48" s="993">
        <v>0.2</v>
      </c>
      <c r="AC48" s="988"/>
      <c r="AD48" s="989"/>
      <c r="AE48" s="988"/>
      <c r="AF48" s="989"/>
      <c r="AG48" s="988"/>
      <c r="AH48" s="989"/>
      <c r="AI48" s="988"/>
      <c r="AJ48" s="989"/>
      <c r="AK48" s="921"/>
      <c r="AL48" s="1019">
        <v>100</v>
      </c>
      <c r="AM48" s="1019">
        <v>90</v>
      </c>
      <c r="AN48" s="921"/>
      <c r="AO48" s="921"/>
      <c r="AP48" s="921"/>
      <c r="AQ48" s="921"/>
      <c r="AR48" s="921"/>
      <c r="AS48" s="921"/>
      <c r="AT48" s="921"/>
      <c r="AU48" s="921"/>
      <c r="AV48" s="921"/>
      <c r="AW48" s="921"/>
      <c r="AX48" s="921"/>
      <c r="AY48" s="921"/>
      <c r="AZ48" s="921"/>
      <c r="BA48" s="921"/>
      <c r="BB48" s="921"/>
      <c r="BC48" s="921"/>
      <c r="BD48" s="921"/>
      <c r="BE48" s="921"/>
    </row>
    <row r="49" spans="1:57" ht="14.25" thickTop="1" thickBot="1">
      <c r="A49" s="958">
        <v>37</v>
      </c>
      <c r="B49" s="959">
        <v>4</v>
      </c>
      <c r="C49" s="1011" t="s">
        <v>807</v>
      </c>
      <c r="D49" s="1012">
        <v>0.01</v>
      </c>
      <c r="E49" s="973"/>
      <c r="F49" s="1020">
        <v>0.1328</v>
      </c>
      <c r="G49" s="975">
        <f t="shared" si="5"/>
        <v>0.01</v>
      </c>
      <c r="H49" s="975"/>
      <c r="I49" s="1020">
        <v>0.126</v>
      </c>
      <c r="J49" s="1021">
        <f t="shared" si="6"/>
        <v>0.01</v>
      </c>
      <c r="K49" s="1021"/>
      <c r="L49" s="1025">
        <v>0.1123</v>
      </c>
      <c r="M49" s="979">
        <f t="shared" si="7"/>
        <v>0.01</v>
      </c>
      <c r="N49" s="979"/>
      <c r="O49" s="1023">
        <v>9.1899999999999996E-2</v>
      </c>
      <c r="P49" s="926"/>
      <c r="Q49" s="937"/>
      <c r="R49" s="926"/>
      <c r="S49" s="981">
        <f t="shared" si="8"/>
        <v>0.01</v>
      </c>
      <c r="T49" s="962"/>
      <c r="U49" s="1023">
        <v>9.1899999999999996E-2</v>
      </c>
      <c r="V49" s="926"/>
      <c r="W49" s="983"/>
      <c r="X49" s="998"/>
      <c r="Y49" s="926"/>
      <c r="Z49" s="1018">
        <v>10000</v>
      </c>
      <c r="AA49" s="992">
        <v>10000</v>
      </c>
      <c r="AB49" s="993">
        <v>0.2</v>
      </c>
      <c r="AC49" s="988"/>
      <c r="AD49" s="989"/>
      <c r="AE49" s="988"/>
      <c r="AF49" s="989"/>
      <c r="AG49" s="988"/>
      <c r="AH49" s="989"/>
      <c r="AI49" s="988"/>
      <c r="AJ49" s="989"/>
      <c r="AK49" s="921"/>
      <c r="AL49" s="1019">
        <v>100</v>
      </c>
      <c r="AM49" s="1019">
        <v>90</v>
      </c>
      <c r="AN49" s="921"/>
      <c r="AO49" s="921"/>
      <c r="AP49" s="921"/>
      <c r="AQ49" s="921"/>
      <c r="AR49" s="921"/>
      <c r="AS49" s="921"/>
      <c r="AT49" s="921"/>
      <c r="AU49" s="921"/>
      <c r="AV49" s="921"/>
      <c r="AW49" s="921"/>
      <c r="AX49" s="921"/>
      <c r="AY49" s="921"/>
      <c r="AZ49" s="921"/>
      <c r="BA49" s="921"/>
      <c r="BB49" s="921"/>
      <c r="BC49" s="921"/>
      <c r="BD49" s="921"/>
      <c r="BE49" s="921"/>
    </row>
    <row r="50" spans="1:57" ht="14.25" thickTop="1" thickBot="1">
      <c r="A50" s="958">
        <v>38</v>
      </c>
      <c r="B50" s="959">
        <v>5</v>
      </c>
      <c r="C50" s="1011" t="s">
        <v>808</v>
      </c>
      <c r="D50" s="1012">
        <v>0.01</v>
      </c>
      <c r="E50" s="973"/>
      <c r="F50" s="1020">
        <v>0.13139999999999999</v>
      </c>
      <c r="G50" s="975">
        <f t="shared" si="5"/>
        <v>0.01</v>
      </c>
      <c r="H50" s="975"/>
      <c r="I50" s="1020">
        <v>0.12470000000000001</v>
      </c>
      <c r="J50" s="1021">
        <f t="shared" si="6"/>
        <v>0.01</v>
      </c>
      <c r="K50" s="1021"/>
      <c r="L50" s="1025">
        <v>0.11119999999999999</v>
      </c>
      <c r="M50" s="979">
        <f t="shared" si="7"/>
        <v>0.01</v>
      </c>
      <c r="N50" s="979"/>
      <c r="O50" s="1023">
        <v>9.0999999999999998E-2</v>
      </c>
      <c r="P50" s="926"/>
      <c r="Q50" s="937"/>
      <c r="R50" s="926"/>
      <c r="S50" s="981">
        <f t="shared" si="8"/>
        <v>0.01</v>
      </c>
      <c r="T50" s="962"/>
      <c r="U50" s="1023">
        <v>9.0999999999999998E-2</v>
      </c>
      <c r="V50" s="926"/>
      <c r="W50" s="983"/>
      <c r="X50" s="998"/>
      <c r="Y50" s="926"/>
      <c r="Z50" s="1018">
        <v>10000</v>
      </c>
      <c r="AA50" s="992">
        <v>10000</v>
      </c>
      <c r="AB50" s="993">
        <v>0.2</v>
      </c>
      <c r="AC50" s="988"/>
      <c r="AD50" s="989"/>
      <c r="AE50" s="988"/>
      <c r="AF50" s="989"/>
      <c r="AG50" s="988"/>
      <c r="AH50" s="989"/>
      <c r="AI50" s="988"/>
      <c r="AJ50" s="989"/>
      <c r="AK50" s="921"/>
      <c r="AL50" s="1019">
        <v>100</v>
      </c>
      <c r="AM50" s="1019">
        <v>90</v>
      </c>
      <c r="AN50" s="921"/>
      <c r="AO50" s="921"/>
      <c r="AP50" s="921"/>
      <c r="AQ50" s="921"/>
      <c r="AR50" s="921"/>
      <c r="AS50" s="921"/>
      <c r="AT50" s="921"/>
      <c r="AU50" s="921"/>
      <c r="AV50" s="921"/>
      <c r="AW50" s="921"/>
      <c r="AX50" s="921"/>
      <c r="AY50" s="921"/>
      <c r="AZ50" s="921"/>
      <c r="BA50" s="921"/>
      <c r="BB50" s="921"/>
      <c r="BC50" s="921"/>
      <c r="BD50" s="921"/>
      <c r="BE50" s="921"/>
    </row>
    <row r="51" spans="1:57" ht="14.25" thickTop="1" thickBot="1">
      <c r="A51" s="958">
        <v>39</v>
      </c>
      <c r="B51" s="959">
        <v>6</v>
      </c>
      <c r="C51" s="1011" t="s">
        <v>809</v>
      </c>
      <c r="D51" s="1012">
        <v>0.01</v>
      </c>
      <c r="E51" s="973"/>
      <c r="F51" s="1020">
        <v>0.13009999999999999</v>
      </c>
      <c r="G51" s="975">
        <f t="shared" si="5"/>
        <v>0.01</v>
      </c>
      <c r="H51" s="975"/>
      <c r="I51" s="1020">
        <v>0.1234</v>
      </c>
      <c r="J51" s="1021">
        <f t="shared" si="6"/>
        <v>0.01</v>
      </c>
      <c r="K51" s="1021"/>
      <c r="L51" s="1025">
        <v>0.1101</v>
      </c>
      <c r="M51" s="979">
        <f t="shared" si="7"/>
        <v>0.01</v>
      </c>
      <c r="N51" s="979"/>
      <c r="O51" s="1023">
        <v>9.01E-2</v>
      </c>
      <c r="P51" s="926"/>
      <c r="Q51" s="937"/>
      <c r="R51" s="926"/>
      <c r="S51" s="981">
        <f t="shared" si="8"/>
        <v>0.01</v>
      </c>
      <c r="T51" s="962"/>
      <c r="U51" s="1023">
        <v>9.01E-2</v>
      </c>
      <c r="V51" s="926"/>
      <c r="W51" s="983"/>
      <c r="X51" s="998"/>
      <c r="Y51" s="926"/>
      <c r="Z51" s="1018">
        <v>10000</v>
      </c>
      <c r="AA51" s="992">
        <v>10000</v>
      </c>
      <c r="AB51" s="993">
        <v>0.2</v>
      </c>
      <c r="AC51" s="988"/>
      <c r="AD51" s="989"/>
      <c r="AE51" s="988"/>
      <c r="AF51" s="989"/>
      <c r="AG51" s="988"/>
      <c r="AH51" s="989"/>
      <c r="AI51" s="988"/>
      <c r="AJ51" s="989"/>
      <c r="AK51" s="921"/>
      <c r="AL51" s="1019">
        <v>100</v>
      </c>
      <c r="AM51" s="1019">
        <v>90</v>
      </c>
      <c r="AN51" s="921"/>
      <c r="AO51" s="921"/>
      <c r="AP51" s="921"/>
      <c r="AQ51" s="921"/>
      <c r="AR51" s="921"/>
      <c r="AS51" s="921"/>
      <c r="AT51" s="921"/>
      <c r="AU51" s="921"/>
      <c r="AV51" s="921"/>
      <c r="AW51" s="921"/>
      <c r="AX51" s="921"/>
      <c r="AY51" s="921"/>
      <c r="AZ51" s="921"/>
      <c r="BA51" s="921"/>
      <c r="BB51" s="921"/>
      <c r="BC51" s="921"/>
      <c r="BD51" s="921"/>
      <c r="BE51" s="921"/>
    </row>
    <row r="52" spans="1:57" ht="14.25" thickTop="1" thickBot="1">
      <c r="A52" s="958">
        <v>40</v>
      </c>
      <c r="B52" s="959">
        <v>7</v>
      </c>
      <c r="C52" s="1011" t="s">
        <v>810</v>
      </c>
      <c r="D52" s="1012">
        <v>0.01</v>
      </c>
      <c r="E52" s="973"/>
      <c r="F52" s="1020">
        <v>0.1288</v>
      </c>
      <c r="G52" s="975">
        <f t="shared" si="5"/>
        <v>0.01</v>
      </c>
      <c r="H52" s="975"/>
      <c r="I52" s="1020">
        <v>0.1222</v>
      </c>
      <c r="J52" s="1021">
        <f t="shared" si="6"/>
        <v>0.01</v>
      </c>
      <c r="K52" s="1021"/>
      <c r="L52" s="1025">
        <v>0.109</v>
      </c>
      <c r="M52" s="979">
        <f t="shared" si="7"/>
        <v>0.01</v>
      </c>
      <c r="N52" s="979"/>
      <c r="O52" s="1023">
        <v>8.9200000000000002E-2</v>
      </c>
      <c r="P52" s="926"/>
      <c r="Q52" s="937"/>
      <c r="R52" s="926"/>
      <c r="S52" s="981">
        <f t="shared" si="8"/>
        <v>0.01</v>
      </c>
      <c r="T52" s="962"/>
      <c r="U52" s="1023">
        <v>8.9200000000000002E-2</v>
      </c>
      <c r="V52" s="926"/>
      <c r="W52" s="983"/>
      <c r="X52" s="998"/>
      <c r="Y52" s="926"/>
      <c r="Z52" s="1018">
        <v>10000</v>
      </c>
      <c r="AA52" s="992">
        <v>10000</v>
      </c>
      <c r="AB52" s="993">
        <v>0.2</v>
      </c>
      <c r="AC52" s="988"/>
      <c r="AD52" s="989"/>
      <c r="AE52" s="988"/>
      <c r="AF52" s="989"/>
      <c r="AG52" s="988"/>
      <c r="AH52" s="989"/>
      <c r="AI52" s="988"/>
      <c r="AJ52" s="989"/>
      <c r="AK52" s="921"/>
      <c r="AL52" s="1019">
        <v>100</v>
      </c>
      <c r="AM52" s="1019">
        <v>90</v>
      </c>
      <c r="AN52" s="921"/>
      <c r="AO52" s="921"/>
      <c r="AP52" s="921"/>
      <c r="AQ52" s="921"/>
      <c r="AR52" s="921"/>
      <c r="AS52" s="921"/>
      <c r="AT52" s="921"/>
      <c r="AU52" s="921"/>
      <c r="AV52" s="921"/>
      <c r="AW52" s="921"/>
      <c r="AX52" s="921"/>
      <c r="AY52" s="921"/>
      <c r="AZ52" s="921"/>
      <c r="BA52" s="921"/>
      <c r="BB52" s="921"/>
      <c r="BC52" s="921"/>
      <c r="BD52" s="921"/>
      <c r="BE52" s="921"/>
    </row>
    <row r="53" spans="1:57" ht="14.25" thickTop="1" thickBot="1">
      <c r="A53" s="958">
        <v>41</v>
      </c>
      <c r="B53" s="959">
        <v>8</v>
      </c>
      <c r="C53" s="1026" t="s">
        <v>811</v>
      </c>
      <c r="D53" s="1012"/>
      <c r="E53" s="1027">
        <v>0.13150000000000001</v>
      </c>
      <c r="F53" s="1020">
        <v>0.1275</v>
      </c>
      <c r="G53" s="975"/>
      <c r="H53" s="1027">
        <v>0.128</v>
      </c>
      <c r="I53" s="1020">
        <v>0.124</v>
      </c>
      <c r="J53" s="1021"/>
      <c r="K53" s="1028">
        <v>0.1149</v>
      </c>
      <c r="L53" s="1020">
        <v>0.1109</v>
      </c>
      <c r="M53" s="979"/>
      <c r="N53" s="1029">
        <v>9.2299999999999993E-2</v>
      </c>
      <c r="O53" s="1023">
        <v>0</v>
      </c>
      <c r="P53" s="926"/>
      <c r="Q53" s="1030">
        <v>4.0000000000000001E-3</v>
      </c>
      <c r="R53" s="926"/>
      <c r="S53" s="981"/>
      <c r="T53" s="1029">
        <v>9.2299999999999993E-2</v>
      </c>
      <c r="U53" s="1029">
        <v>8.8300000000000003E-2</v>
      </c>
      <c r="V53" s="926"/>
      <c r="W53" s="983"/>
      <c r="X53" s="998"/>
      <c r="Y53" s="926"/>
      <c r="Z53" s="1018">
        <v>500</v>
      </c>
      <c r="AA53" s="992">
        <v>10000</v>
      </c>
      <c r="AB53" s="993">
        <v>0.2</v>
      </c>
      <c r="AC53" s="988"/>
      <c r="AD53" s="989"/>
      <c r="AE53" s="988"/>
      <c r="AF53" s="989"/>
      <c r="AG53" s="988"/>
      <c r="AH53" s="989"/>
      <c r="AI53" s="988"/>
      <c r="AJ53" s="989"/>
      <c r="AK53" s="921"/>
      <c r="AL53" s="1019">
        <v>100</v>
      </c>
      <c r="AM53" s="1019">
        <v>100</v>
      </c>
      <c r="AN53" s="921"/>
      <c r="AO53" s="921"/>
      <c r="AP53" s="921"/>
      <c r="AQ53" s="921"/>
      <c r="AR53" s="921"/>
      <c r="AS53" s="921"/>
      <c r="AT53" s="921"/>
      <c r="AU53" s="921"/>
      <c r="AV53" s="921"/>
      <c r="AW53" s="921"/>
      <c r="AX53" s="921"/>
      <c r="AY53" s="921"/>
      <c r="AZ53" s="921"/>
      <c r="BA53" s="921"/>
      <c r="BB53" s="921"/>
      <c r="BC53" s="921"/>
      <c r="BD53" s="921"/>
      <c r="BE53" s="921"/>
    </row>
    <row r="54" spans="1:57" ht="14.25" thickTop="1" thickBot="1">
      <c r="A54" s="958">
        <v>42</v>
      </c>
      <c r="B54" s="959">
        <v>9</v>
      </c>
      <c r="C54" s="1026" t="s">
        <v>812</v>
      </c>
      <c r="D54" s="1012">
        <v>5.0000000000000001E-3</v>
      </c>
      <c r="E54" s="1027">
        <f>IF($D54&gt;0,ROUND(E53*(1-$D54),4),0)</f>
        <v>0.1308</v>
      </c>
      <c r="F54" s="1020">
        <v>0.12690000000000001</v>
      </c>
      <c r="G54" s="975">
        <v>5.0000000000000001E-3</v>
      </c>
      <c r="H54" s="1027">
        <v>0.12740000000000001</v>
      </c>
      <c r="I54" s="1020">
        <v>0.1234</v>
      </c>
      <c r="J54" s="1021">
        <v>5.0000000000000001E-3</v>
      </c>
      <c r="K54" s="1028">
        <v>0.1143</v>
      </c>
      <c r="L54" s="1020">
        <v>0.1103</v>
      </c>
      <c r="M54" s="979">
        <v>5.0000000000000001E-3</v>
      </c>
      <c r="N54" s="1029">
        <v>9.1800000000000007E-2</v>
      </c>
      <c r="O54" s="1023">
        <v>0</v>
      </c>
      <c r="P54" s="926"/>
      <c r="Q54" s="1031"/>
      <c r="R54" s="926"/>
      <c r="S54" s="981">
        <v>5.0000000000000001E-3</v>
      </c>
      <c r="T54" s="1029">
        <v>9.1800000000000007E-2</v>
      </c>
      <c r="U54" s="1029">
        <v>8.7900000000000006E-2</v>
      </c>
      <c r="V54" s="926"/>
      <c r="W54" s="983"/>
      <c r="X54" s="998"/>
      <c r="Y54" s="926"/>
      <c r="Z54" s="1018">
        <v>500</v>
      </c>
      <c r="AA54" s="992">
        <v>10000</v>
      </c>
      <c r="AB54" s="993">
        <v>0.2</v>
      </c>
      <c r="AC54" s="988"/>
      <c r="AD54" s="989"/>
      <c r="AE54" s="988"/>
      <c r="AF54" s="989"/>
      <c r="AG54" s="988"/>
      <c r="AH54" s="989"/>
      <c r="AI54" s="988"/>
      <c r="AJ54" s="989"/>
      <c r="AK54" s="921"/>
      <c r="AL54" s="1019">
        <v>100</v>
      </c>
      <c r="AM54" s="1019">
        <v>100</v>
      </c>
      <c r="AN54" s="921"/>
      <c r="AO54" s="921"/>
      <c r="AP54" s="921"/>
      <c r="AQ54" s="921"/>
      <c r="AR54" s="921"/>
      <c r="AS54" s="921"/>
      <c r="AT54" s="921"/>
      <c r="AU54" s="921"/>
      <c r="AV54" s="921"/>
      <c r="AW54" s="921"/>
      <c r="AX54" s="921"/>
      <c r="AY54" s="921"/>
      <c r="AZ54" s="921"/>
      <c r="BA54" s="921"/>
      <c r="BB54" s="921"/>
      <c r="BC54" s="921"/>
      <c r="BD54" s="921"/>
      <c r="BE54" s="921"/>
    </row>
    <row r="55" spans="1:57" ht="14.25" thickTop="1" thickBot="1">
      <c r="A55" s="958">
        <v>43</v>
      </c>
      <c r="B55" s="959">
        <v>10</v>
      </c>
      <c r="C55" s="1026" t="s">
        <v>813</v>
      </c>
      <c r="D55" s="1012">
        <v>2.5000000000000001E-3</v>
      </c>
      <c r="E55" s="1027">
        <v>0.1305</v>
      </c>
      <c r="F55" s="1020">
        <v>0.1265</v>
      </c>
      <c r="G55" s="1032">
        <v>2.5000000000000001E-3</v>
      </c>
      <c r="H55" s="1027">
        <v>0.127</v>
      </c>
      <c r="I55" s="1020">
        <v>0.1231</v>
      </c>
      <c r="J55" s="1033">
        <v>2.5000000000000001E-3</v>
      </c>
      <c r="K55" s="1028">
        <v>0.114</v>
      </c>
      <c r="L55" s="1020">
        <v>0.1101</v>
      </c>
      <c r="M55" s="1034">
        <v>2.5000000000000001E-3</v>
      </c>
      <c r="N55" s="1029">
        <v>9.1600000000000001E-2</v>
      </c>
      <c r="O55" s="1023">
        <v>0</v>
      </c>
      <c r="P55" s="926"/>
      <c r="Q55" s="1035"/>
      <c r="R55" s="926"/>
      <c r="S55" s="1036">
        <v>2.5000000000000001E-3</v>
      </c>
      <c r="T55" s="1029">
        <v>9.1600000000000001E-2</v>
      </c>
      <c r="U55" s="1029">
        <v>8.7599999999999997E-2</v>
      </c>
      <c r="V55" s="926"/>
      <c r="W55" s="983"/>
      <c r="X55" s="998"/>
      <c r="Y55" s="926"/>
      <c r="Z55" s="1018">
        <v>500</v>
      </c>
      <c r="AA55" s="992">
        <v>10000</v>
      </c>
      <c r="AB55" s="993">
        <v>0.2</v>
      </c>
      <c r="AC55" s="988"/>
      <c r="AD55" s="989"/>
      <c r="AE55" s="988"/>
      <c r="AF55" s="989"/>
      <c r="AG55" s="988"/>
      <c r="AH55" s="989"/>
      <c r="AI55" s="988"/>
      <c r="AJ55" s="989"/>
      <c r="AK55" s="921"/>
      <c r="AL55" s="1019">
        <v>100</v>
      </c>
      <c r="AM55" s="1019">
        <v>100</v>
      </c>
      <c r="AN55" s="921"/>
      <c r="AO55" s="921"/>
      <c r="AP55" s="921"/>
      <c r="AQ55" s="921"/>
      <c r="AR55" s="921"/>
      <c r="AS55" s="921"/>
      <c r="AT55" s="921"/>
      <c r="AU55" s="921"/>
      <c r="AV55" s="921"/>
      <c r="AW55" s="921"/>
      <c r="AX55" s="921"/>
      <c r="AY55" s="921"/>
      <c r="AZ55" s="921"/>
      <c r="BA55" s="921"/>
      <c r="BB55" s="921"/>
      <c r="BC55" s="921"/>
      <c r="BD55" s="921"/>
      <c r="BE55" s="921"/>
    </row>
    <row r="56" spans="1:57" ht="14.25" thickTop="1" thickBot="1">
      <c r="A56" s="958">
        <v>44</v>
      </c>
      <c r="B56" s="959">
        <v>11</v>
      </c>
      <c r="C56" s="1026" t="s">
        <v>814</v>
      </c>
      <c r="D56" s="1012">
        <v>2.5000000000000001E-3</v>
      </c>
      <c r="E56" s="1027">
        <v>0.13020000000000001</v>
      </c>
      <c r="F56" s="1020">
        <v>0.12620000000000001</v>
      </c>
      <c r="G56" s="1032">
        <v>2.5000000000000001E-3</v>
      </c>
      <c r="H56" s="1027">
        <v>0.12670000000000001</v>
      </c>
      <c r="I56" s="1020">
        <v>0.12280000000000001</v>
      </c>
      <c r="J56" s="1033">
        <v>2.5000000000000001E-3</v>
      </c>
      <c r="K56" s="1028">
        <v>0.1138</v>
      </c>
      <c r="L56" s="1020">
        <v>0.10979999999999999</v>
      </c>
      <c r="M56" s="1034">
        <v>2.5000000000000001E-3</v>
      </c>
      <c r="N56" s="1029">
        <v>9.1399999999999995E-2</v>
      </c>
      <c r="O56" s="1023">
        <v>0</v>
      </c>
      <c r="P56" s="926"/>
      <c r="Q56" s="1035"/>
      <c r="R56" s="926"/>
      <c r="S56" s="1036">
        <v>2.5000000000000001E-3</v>
      </c>
      <c r="T56" s="1029">
        <v>9.1399999999999995E-2</v>
      </c>
      <c r="U56" s="1029">
        <v>8.7400000000000005E-2</v>
      </c>
      <c r="V56" s="926"/>
      <c r="W56" s="983"/>
      <c r="X56" s="998"/>
      <c r="Y56" s="926"/>
      <c r="Z56" s="1018">
        <v>500</v>
      </c>
      <c r="AA56" s="992">
        <v>10000</v>
      </c>
      <c r="AB56" s="993">
        <v>0.2</v>
      </c>
      <c r="AC56" s="988"/>
      <c r="AD56" s="989"/>
      <c r="AE56" s="988"/>
      <c r="AF56" s="989"/>
      <c r="AG56" s="988"/>
      <c r="AH56" s="989"/>
      <c r="AI56" s="988"/>
      <c r="AJ56" s="989"/>
      <c r="AK56" s="921"/>
      <c r="AL56" s="1019">
        <v>100</v>
      </c>
      <c r="AM56" s="1019">
        <v>100</v>
      </c>
      <c r="AN56" s="921"/>
      <c r="AO56" s="921"/>
      <c r="AP56" s="921"/>
      <c r="AQ56" s="921"/>
      <c r="AR56" s="921"/>
      <c r="AS56" s="921"/>
      <c r="AT56" s="921"/>
      <c r="AU56" s="921"/>
      <c r="AV56" s="921"/>
      <c r="AW56" s="921"/>
      <c r="AX56" s="921"/>
      <c r="AY56" s="921"/>
      <c r="AZ56" s="921"/>
      <c r="BA56" s="921"/>
      <c r="BB56" s="921"/>
      <c r="BC56" s="921"/>
      <c r="BD56" s="921"/>
      <c r="BE56" s="921"/>
    </row>
    <row r="57" spans="1:57" ht="14.25" thickTop="1" thickBot="1">
      <c r="A57" s="958">
        <v>45</v>
      </c>
      <c r="B57" s="959">
        <v>12</v>
      </c>
      <c r="C57" s="1026" t="s">
        <v>815</v>
      </c>
      <c r="D57" s="1012">
        <v>2.5000000000000001E-3</v>
      </c>
      <c r="E57" s="1027">
        <v>0.12989999999999999</v>
      </c>
      <c r="F57" s="1020">
        <v>0.12590000000000001</v>
      </c>
      <c r="G57" s="1032">
        <v>2.5000000000000001E-3</v>
      </c>
      <c r="H57" s="1027">
        <v>0.12640000000000001</v>
      </c>
      <c r="I57" s="1020">
        <v>0.1225</v>
      </c>
      <c r="J57" s="1033">
        <v>2.5000000000000001E-3</v>
      </c>
      <c r="K57" s="1028">
        <v>0.1135</v>
      </c>
      <c r="L57" s="1020">
        <v>0.1095</v>
      </c>
      <c r="M57" s="1034">
        <v>2.5000000000000001E-3</v>
      </c>
      <c r="N57" s="1029">
        <v>9.1200000000000003E-2</v>
      </c>
      <c r="O57" s="1023">
        <v>0</v>
      </c>
      <c r="P57" s="926"/>
      <c r="Q57" s="1035"/>
      <c r="R57" s="926"/>
      <c r="S57" s="1036">
        <v>2.5000000000000001E-3</v>
      </c>
      <c r="T57" s="1029">
        <v>9.1200000000000003E-2</v>
      </c>
      <c r="U57" s="1029">
        <v>8.72E-2</v>
      </c>
      <c r="V57" s="926"/>
      <c r="W57" s="983"/>
      <c r="X57" s="998"/>
      <c r="Y57" s="926"/>
      <c r="Z57" s="1018">
        <v>500</v>
      </c>
      <c r="AA57" s="992">
        <v>10000</v>
      </c>
      <c r="AB57" s="993">
        <v>0.2</v>
      </c>
      <c r="AC57" s="988"/>
      <c r="AD57" s="989"/>
      <c r="AE57" s="988"/>
      <c r="AF57" s="989"/>
      <c r="AG57" s="988"/>
      <c r="AH57" s="989"/>
      <c r="AI57" s="988"/>
      <c r="AJ57" s="989"/>
      <c r="AK57" s="921"/>
      <c r="AL57" s="1019">
        <v>100</v>
      </c>
      <c r="AM57" s="1019">
        <v>100</v>
      </c>
      <c r="AN57" s="921"/>
      <c r="AO57" s="921"/>
      <c r="AP57" s="921"/>
      <c r="AQ57" s="921"/>
      <c r="AR57" s="921"/>
      <c r="AS57" s="921"/>
      <c r="AT57" s="921"/>
      <c r="AU57" s="921"/>
      <c r="AV57" s="921"/>
      <c r="AW57" s="921"/>
      <c r="AX57" s="921"/>
      <c r="AY57" s="921"/>
      <c r="AZ57" s="921"/>
      <c r="BA57" s="921"/>
      <c r="BB57" s="921"/>
      <c r="BC57" s="921"/>
      <c r="BD57" s="921"/>
      <c r="BE57" s="921"/>
    </row>
    <row r="58" spans="1:57" ht="14.25" thickTop="1" thickBot="1">
      <c r="A58" s="958">
        <v>46</v>
      </c>
      <c r="B58" s="959">
        <v>1</v>
      </c>
      <c r="C58" s="1026" t="s">
        <v>816</v>
      </c>
      <c r="D58" s="1012">
        <v>2.5000000000000001E-3</v>
      </c>
      <c r="E58" s="1027">
        <v>0.1295</v>
      </c>
      <c r="F58" s="1020">
        <v>0.12559999999999999</v>
      </c>
      <c r="G58" s="1032">
        <f t="shared" ref="G58:G66" si="9">IF($D58&gt;0,$D58,"")</f>
        <v>2.5000000000000001E-3</v>
      </c>
      <c r="H58" s="1027">
        <v>0.12609999999999999</v>
      </c>
      <c r="I58" s="1020">
        <v>0.1222</v>
      </c>
      <c r="J58" s="1033">
        <f t="shared" ref="J58:J66" si="10">IF($D58&gt;0,$D58,"")</f>
        <v>2.5000000000000001E-3</v>
      </c>
      <c r="K58" s="1028">
        <v>0.1132</v>
      </c>
      <c r="L58" s="1020">
        <v>0.10920000000000001</v>
      </c>
      <c r="M58" s="1034">
        <f t="shared" ref="M58:M66" si="11">IF($D58&gt;0,$D58,"")</f>
        <v>2.5000000000000001E-3</v>
      </c>
      <c r="N58" s="1029">
        <v>9.0899999999999995E-2</v>
      </c>
      <c r="O58" s="1023">
        <v>0</v>
      </c>
      <c r="P58" s="926"/>
      <c r="Q58" s="1035"/>
      <c r="R58" s="926"/>
      <c r="S58" s="1036">
        <f t="shared" ref="S58:S66" si="12">IF($D58&gt;0,$D58,"")</f>
        <v>2.5000000000000001E-3</v>
      </c>
      <c r="T58" s="1029">
        <v>9.0899999999999995E-2</v>
      </c>
      <c r="U58" s="1029">
        <v>8.6999999999999994E-2</v>
      </c>
      <c r="V58" s="926"/>
      <c r="W58" s="983"/>
      <c r="X58" s="998"/>
      <c r="Y58" s="926"/>
      <c r="Z58" s="1018">
        <v>500</v>
      </c>
      <c r="AA58" s="992">
        <v>10000</v>
      </c>
      <c r="AB58" s="993">
        <v>0.2</v>
      </c>
      <c r="AC58" s="988"/>
      <c r="AD58" s="989"/>
      <c r="AE58" s="988"/>
      <c r="AF58" s="989"/>
      <c r="AG58" s="988"/>
      <c r="AH58" s="989"/>
      <c r="AI58" s="988"/>
      <c r="AJ58" s="989"/>
      <c r="AK58" s="921"/>
      <c r="AL58" s="1019">
        <v>100</v>
      </c>
      <c r="AM58" s="1019">
        <v>100</v>
      </c>
      <c r="AN58" s="921"/>
      <c r="AO58" s="921"/>
      <c r="AP58" s="921"/>
      <c r="AQ58" s="921"/>
      <c r="AR58" s="921"/>
      <c r="AS58" s="921"/>
      <c r="AT58" s="921"/>
      <c r="AU58" s="921"/>
      <c r="AV58" s="921"/>
      <c r="AW58" s="921"/>
      <c r="AX58" s="921"/>
      <c r="AY58" s="921"/>
      <c r="AZ58" s="921"/>
      <c r="BA58" s="921"/>
      <c r="BB58" s="921"/>
      <c r="BC58" s="921"/>
      <c r="BD58" s="921"/>
      <c r="BE58" s="921"/>
    </row>
    <row r="59" spans="1:57" ht="14.25" thickTop="1" thickBot="1">
      <c r="A59" s="958">
        <v>47</v>
      </c>
      <c r="B59" s="959">
        <v>2</v>
      </c>
      <c r="C59" s="1026" t="s">
        <v>817</v>
      </c>
      <c r="D59" s="1012">
        <v>2.5000000000000001E-3</v>
      </c>
      <c r="E59" s="1027">
        <v>0.12920000000000001</v>
      </c>
      <c r="F59" s="1020">
        <v>0.12529999999999999</v>
      </c>
      <c r="G59" s="1032">
        <f t="shared" si="9"/>
        <v>2.5000000000000001E-3</v>
      </c>
      <c r="H59" s="1027">
        <v>0.1258</v>
      </c>
      <c r="I59" s="1020">
        <v>0.12180000000000001</v>
      </c>
      <c r="J59" s="1033">
        <f t="shared" si="10"/>
        <v>2.5000000000000001E-3</v>
      </c>
      <c r="K59" s="1028">
        <v>0.1129</v>
      </c>
      <c r="L59" s="1020">
        <v>0.109</v>
      </c>
      <c r="M59" s="1034">
        <f t="shared" si="11"/>
        <v>2.5000000000000001E-3</v>
      </c>
      <c r="N59" s="1029">
        <v>9.0700000000000003E-2</v>
      </c>
      <c r="O59" s="1023">
        <v>0</v>
      </c>
      <c r="P59" s="926"/>
      <c r="Q59" s="1035"/>
      <c r="R59" s="926"/>
      <c r="S59" s="1036">
        <f t="shared" si="12"/>
        <v>2.5000000000000001E-3</v>
      </c>
      <c r="T59" s="1029">
        <v>9.0700000000000003E-2</v>
      </c>
      <c r="U59" s="1029">
        <v>8.6800000000000002E-2</v>
      </c>
      <c r="V59" s="926"/>
      <c r="W59" s="983"/>
      <c r="X59" s="998"/>
      <c r="Y59" s="926"/>
      <c r="Z59" s="1018">
        <v>500</v>
      </c>
      <c r="AA59" s="992">
        <v>10000</v>
      </c>
      <c r="AB59" s="993">
        <v>0.2</v>
      </c>
      <c r="AC59" s="988"/>
      <c r="AD59" s="989"/>
      <c r="AE59" s="988"/>
      <c r="AF59" s="989"/>
      <c r="AG59" s="988"/>
      <c r="AH59" s="989"/>
      <c r="AI59" s="988"/>
      <c r="AJ59" s="989"/>
      <c r="AK59" s="921"/>
      <c r="AL59" s="1019">
        <v>100</v>
      </c>
      <c r="AM59" s="1019">
        <v>100</v>
      </c>
      <c r="AN59" s="921"/>
      <c r="AO59" s="921"/>
      <c r="AP59" s="921"/>
      <c r="AQ59" s="921"/>
      <c r="AR59" s="921"/>
      <c r="AS59" s="921"/>
      <c r="AT59" s="921"/>
      <c r="AU59" s="921"/>
      <c r="AV59" s="921"/>
      <c r="AW59" s="921"/>
      <c r="AX59" s="921"/>
      <c r="AY59" s="921"/>
      <c r="AZ59" s="921"/>
      <c r="BA59" s="921"/>
      <c r="BB59" s="921"/>
      <c r="BC59" s="921"/>
      <c r="BD59" s="921"/>
      <c r="BE59" s="921"/>
    </row>
    <row r="60" spans="1:57" ht="14.25" thickTop="1" thickBot="1">
      <c r="A60" s="958">
        <v>48</v>
      </c>
      <c r="B60" s="959">
        <v>3</v>
      </c>
      <c r="C60" s="1026" t="s">
        <v>818</v>
      </c>
      <c r="D60" s="1012">
        <v>2.5000000000000001E-3</v>
      </c>
      <c r="E60" s="1027">
        <v>0.12889999999999999</v>
      </c>
      <c r="F60" s="1020">
        <v>0.125</v>
      </c>
      <c r="G60" s="1032">
        <f t="shared" si="9"/>
        <v>2.5000000000000001E-3</v>
      </c>
      <c r="H60" s="1027">
        <v>0.1255</v>
      </c>
      <c r="I60" s="1020">
        <v>0.1215</v>
      </c>
      <c r="J60" s="1033">
        <f t="shared" si="10"/>
        <v>2.5000000000000001E-3</v>
      </c>
      <c r="K60" s="1028">
        <v>0.11260000000000001</v>
      </c>
      <c r="L60" s="1020">
        <v>0.1087</v>
      </c>
      <c r="M60" s="1034">
        <f t="shared" si="11"/>
        <v>2.5000000000000001E-3</v>
      </c>
      <c r="N60" s="1029">
        <v>9.0499999999999997E-2</v>
      </c>
      <c r="O60" s="1023">
        <v>0</v>
      </c>
      <c r="P60" s="926"/>
      <c r="Q60" s="1035"/>
      <c r="R60" s="926"/>
      <c r="S60" s="1036">
        <f t="shared" si="12"/>
        <v>2.5000000000000001E-3</v>
      </c>
      <c r="T60" s="1029">
        <v>9.0499999999999997E-2</v>
      </c>
      <c r="U60" s="1029">
        <v>8.6499999999999994E-2</v>
      </c>
      <c r="V60" s="926"/>
      <c r="W60" s="983"/>
      <c r="X60" s="998"/>
      <c r="Y60" s="926"/>
      <c r="Z60" s="1018">
        <v>500</v>
      </c>
      <c r="AA60" s="992">
        <v>10000</v>
      </c>
      <c r="AB60" s="993">
        <v>0.2</v>
      </c>
      <c r="AC60" s="988"/>
      <c r="AD60" s="989"/>
      <c r="AE60" s="988"/>
      <c r="AF60" s="989"/>
      <c r="AG60" s="988"/>
      <c r="AH60" s="989"/>
      <c r="AI60" s="988"/>
      <c r="AJ60" s="989"/>
      <c r="AK60" s="921"/>
      <c r="AL60" s="1019">
        <v>100</v>
      </c>
      <c r="AM60" s="1019">
        <v>100</v>
      </c>
      <c r="AN60" s="921"/>
      <c r="AO60" s="921"/>
      <c r="AP60" s="921"/>
      <c r="AQ60" s="921"/>
      <c r="AR60" s="921"/>
      <c r="AS60" s="921"/>
      <c r="AT60" s="921"/>
      <c r="AU60" s="921"/>
      <c r="AV60" s="921"/>
      <c r="AW60" s="921"/>
      <c r="AX60" s="921"/>
      <c r="AY60" s="921"/>
      <c r="AZ60" s="921"/>
      <c r="BA60" s="921"/>
      <c r="BB60" s="921"/>
      <c r="BC60" s="921"/>
      <c r="BD60" s="921"/>
      <c r="BE60" s="921"/>
    </row>
    <row r="61" spans="1:57" ht="14.25" thickTop="1" thickBot="1">
      <c r="A61" s="958">
        <v>49</v>
      </c>
      <c r="B61" s="959">
        <v>4</v>
      </c>
      <c r="C61" s="1026" t="s">
        <v>819</v>
      </c>
      <c r="D61" s="1012">
        <v>2.5000000000000001E-3</v>
      </c>
      <c r="E61" s="1027">
        <v>0.12859999999999999</v>
      </c>
      <c r="F61" s="1020">
        <v>0.12470000000000001</v>
      </c>
      <c r="G61" s="1032">
        <f t="shared" si="9"/>
        <v>2.5000000000000001E-3</v>
      </c>
      <c r="H61" s="1027">
        <v>0.12509999999999999</v>
      </c>
      <c r="I61" s="1020">
        <v>0.1212</v>
      </c>
      <c r="J61" s="1033">
        <f t="shared" si="10"/>
        <v>2.5000000000000001E-3</v>
      </c>
      <c r="K61" s="1028">
        <v>0.1123</v>
      </c>
      <c r="L61" s="1020">
        <v>0.1084</v>
      </c>
      <c r="M61" s="1034">
        <f t="shared" si="11"/>
        <v>2.5000000000000001E-3</v>
      </c>
      <c r="N61" s="1029">
        <v>9.0200000000000002E-2</v>
      </c>
      <c r="O61" s="1023">
        <v>0</v>
      </c>
      <c r="P61" s="926"/>
      <c r="Q61" s="1035"/>
      <c r="R61" s="926"/>
      <c r="S61" s="1036">
        <f t="shared" si="12"/>
        <v>2.5000000000000001E-3</v>
      </c>
      <c r="T61" s="1029">
        <v>9.0200000000000002E-2</v>
      </c>
      <c r="U61" s="1029">
        <v>8.6300000000000002E-2</v>
      </c>
      <c r="V61" s="926"/>
      <c r="W61" s="983"/>
      <c r="X61" s="998"/>
      <c r="Y61" s="926"/>
      <c r="Z61" s="1018">
        <v>500</v>
      </c>
      <c r="AA61" s="992">
        <v>10000</v>
      </c>
      <c r="AB61" s="993">
        <v>0.2</v>
      </c>
      <c r="AC61" s="988"/>
      <c r="AD61" s="989"/>
      <c r="AE61" s="988"/>
      <c r="AF61" s="989"/>
      <c r="AG61" s="988"/>
      <c r="AH61" s="989"/>
      <c r="AI61" s="988"/>
      <c r="AJ61" s="989"/>
      <c r="AK61" s="921"/>
      <c r="AL61" s="1019">
        <v>100</v>
      </c>
      <c r="AM61" s="1019">
        <v>100</v>
      </c>
      <c r="AN61" s="921"/>
      <c r="AO61" s="921"/>
      <c r="AP61" s="921"/>
      <c r="AQ61" s="921"/>
      <c r="AR61" s="921"/>
      <c r="AS61" s="921"/>
      <c r="AT61" s="921"/>
      <c r="AU61" s="921"/>
      <c r="AV61" s="921"/>
      <c r="AW61" s="921"/>
      <c r="AX61" s="921"/>
      <c r="AY61" s="921"/>
      <c r="AZ61" s="921"/>
      <c r="BA61" s="921"/>
      <c r="BB61" s="921"/>
      <c r="BC61" s="921"/>
      <c r="BD61" s="921"/>
      <c r="BE61" s="921"/>
    </row>
    <row r="62" spans="1:57" ht="14.25" thickTop="1" thickBot="1">
      <c r="A62" s="958">
        <v>50</v>
      </c>
      <c r="B62" s="959">
        <v>5</v>
      </c>
      <c r="C62" s="1026" t="s">
        <v>820</v>
      </c>
      <c r="D62" s="1012">
        <v>2.5000000000000001E-3</v>
      </c>
      <c r="E62" s="1027">
        <v>0.12820000000000001</v>
      </c>
      <c r="F62" s="1020">
        <v>0.12429999999999999</v>
      </c>
      <c r="G62" s="1032">
        <f t="shared" si="9"/>
        <v>2.5000000000000001E-3</v>
      </c>
      <c r="H62" s="1027">
        <v>0.12479999999999999</v>
      </c>
      <c r="I62" s="1020">
        <v>0.12089999999999999</v>
      </c>
      <c r="J62" s="1033">
        <f t="shared" si="10"/>
        <v>2.5000000000000001E-3</v>
      </c>
      <c r="K62" s="1028">
        <v>0.11210000000000001</v>
      </c>
      <c r="L62" s="1020">
        <v>0.1082</v>
      </c>
      <c r="M62" s="1034">
        <f t="shared" si="11"/>
        <v>2.5000000000000001E-3</v>
      </c>
      <c r="N62" s="1029">
        <v>0.09</v>
      </c>
      <c r="O62" s="1023">
        <v>0</v>
      </c>
      <c r="P62" s="926"/>
      <c r="Q62" s="1035"/>
      <c r="R62" s="926"/>
      <c r="S62" s="1036">
        <f t="shared" si="12"/>
        <v>2.5000000000000001E-3</v>
      </c>
      <c r="T62" s="1029">
        <v>0.09</v>
      </c>
      <c r="U62" s="1029">
        <v>8.6099999999999996E-2</v>
      </c>
      <c r="V62" s="926"/>
      <c r="W62" s="983"/>
      <c r="X62" s="998"/>
      <c r="Y62" s="926"/>
      <c r="Z62" s="1018">
        <v>500</v>
      </c>
      <c r="AA62" s="992">
        <v>10000</v>
      </c>
      <c r="AB62" s="993">
        <v>0.2</v>
      </c>
      <c r="AC62" s="988"/>
      <c r="AD62" s="989"/>
      <c r="AE62" s="988"/>
      <c r="AF62" s="989"/>
      <c r="AG62" s="988"/>
      <c r="AH62" s="989"/>
      <c r="AI62" s="988"/>
      <c r="AJ62" s="989"/>
      <c r="AK62" s="921"/>
      <c r="AL62" s="1019">
        <v>100</v>
      </c>
      <c r="AM62" s="1019">
        <v>100</v>
      </c>
      <c r="AN62" s="921"/>
      <c r="AO62" s="921"/>
      <c r="AP62" s="921"/>
      <c r="AQ62" s="921"/>
      <c r="AR62" s="921"/>
      <c r="AS62" s="921"/>
      <c r="AT62" s="921"/>
      <c r="AU62" s="921"/>
      <c r="AV62" s="921"/>
      <c r="AW62" s="921"/>
      <c r="AX62" s="921"/>
      <c r="AY62" s="921"/>
      <c r="AZ62" s="921"/>
      <c r="BA62" s="921"/>
      <c r="BB62" s="921"/>
      <c r="BC62" s="921"/>
      <c r="BD62" s="921"/>
      <c r="BE62" s="921"/>
    </row>
    <row r="63" spans="1:57" ht="14.25" thickTop="1" thickBot="1">
      <c r="A63" s="958">
        <v>51</v>
      </c>
      <c r="B63" s="959">
        <v>6</v>
      </c>
      <c r="C63" s="1026" t="s">
        <v>821</v>
      </c>
      <c r="D63" s="1012">
        <v>2.5000000000000001E-3</v>
      </c>
      <c r="E63" s="1027">
        <v>0.12790000000000001</v>
      </c>
      <c r="F63" s="1020">
        <v>0.124</v>
      </c>
      <c r="G63" s="1032">
        <f t="shared" si="9"/>
        <v>2.5000000000000001E-3</v>
      </c>
      <c r="H63" s="1027">
        <v>0.1245</v>
      </c>
      <c r="I63" s="1020">
        <v>0.1206</v>
      </c>
      <c r="J63" s="1033">
        <f t="shared" si="10"/>
        <v>2.5000000000000001E-3</v>
      </c>
      <c r="K63" s="1028">
        <v>0.1118</v>
      </c>
      <c r="L63" s="1020">
        <v>0.1079</v>
      </c>
      <c r="M63" s="1034">
        <f t="shared" si="11"/>
        <v>2.5000000000000001E-3</v>
      </c>
      <c r="N63" s="1029">
        <v>8.9800000000000005E-2</v>
      </c>
      <c r="O63" s="1023">
        <v>0</v>
      </c>
      <c r="P63" s="926"/>
      <c r="Q63" s="1035"/>
      <c r="R63" s="926"/>
      <c r="S63" s="1036">
        <f t="shared" si="12"/>
        <v>2.5000000000000001E-3</v>
      </c>
      <c r="T63" s="1029">
        <v>8.9800000000000005E-2</v>
      </c>
      <c r="U63" s="1029">
        <v>8.5900000000000004E-2</v>
      </c>
      <c r="V63" s="926"/>
      <c r="W63" s="983"/>
      <c r="X63" s="998"/>
      <c r="Y63" s="926"/>
      <c r="Z63" s="1018">
        <v>500</v>
      </c>
      <c r="AA63" s="992">
        <v>10000</v>
      </c>
      <c r="AB63" s="993">
        <v>0.2</v>
      </c>
      <c r="AC63" s="988"/>
      <c r="AD63" s="989"/>
      <c r="AE63" s="988"/>
      <c r="AF63" s="989"/>
      <c r="AG63" s="988"/>
      <c r="AH63" s="989"/>
      <c r="AI63" s="988"/>
      <c r="AJ63" s="989"/>
      <c r="AK63" s="921"/>
      <c r="AL63" s="1019">
        <v>100</v>
      </c>
      <c r="AM63" s="1019">
        <v>100</v>
      </c>
      <c r="AN63" s="921"/>
      <c r="AO63" s="921"/>
      <c r="AP63" s="921"/>
      <c r="AQ63" s="921"/>
      <c r="AR63" s="921"/>
      <c r="AS63" s="921"/>
      <c r="AT63" s="921"/>
      <c r="AU63" s="921"/>
      <c r="AV63" s="921"/>
      <c r="AW63" s="921"/>
      <c r="AX63" s="921"/>
      <c r="AY63" s="921"/>
      <c r="AZ63" s="921"/>
      <c r="BA63" s="921"/>
      <c r="BB63" s="921"/>
      <c r="BC63" s="921"/>
      <c r="BD63" s="921"/>
      <c r="BE63" s="921"/>
    </row>
    <row r="64" spans="1:57" ht="14.25" thickTop="1" thickBot="1">
      <c r="A64" s="958">
        <v>52</v>
      </c>
      <c r="B64" s="959">
        <v>7</v>
      </c>
      <c r="C64" s="1026" t="s">
        <v>822</v>
      </c>
      <c r="D64" s="1012">
        <v>2.5000000000000001E-3</v>
      </c>
      <c r="E64" s="1027">
        <v>0.12759999999999999</v>
      </c>
      <c r="F64" s="1020">
        <v>0.1237</v>
      </c>
      <c r="G64" s="1032">
        <f t="shared" si="9"/>
        <v>2.5000000000000001E-3</v>
      </c>
      <c r="H64" s="1027">
        <v>0.1242</v>
      </c>
      <c r="I64" s="1020">
        <v>0.1203</v>
      </c>
      <c r="J64" s="1033">
        <f t="shared" si="10"/>
        <v>2.5000000000000001E-3</v>
      </c>
      <c r="K64" s="1028">
        <v>0.1115</v>
      </c>
      <c r="L64" s="1020">
        <v>0.1076</v>
      </c>
      <c r="M64" s="1034">
        <f t="shared" si="11"/>
        <v>2.5000000000000001E-3</v>
      </c>
      <c r="N64" s="1029">
        <v>8.9599999999999999E-2</v>
      </c>
      <c r="O64" s="1023">
        <v>0</v>
      </c>
      <c r="P64" s="926"/>
      <c r="Q64" s="1035"/>
      <c r="R64" s="926"/>
      <c r="S64" s="1036">
        <f t="shared" si="12"/>
        <v>2.5000000000000001E-3</v>
      </c>
      <c r="T64" s="1029">
        <v>8.9599999999999999E-2</v>
      </c>
      <c r="U64" s="1029">
        <v>8.5699999999999998E-2</v>
      </c>
      <c r="V64" s="926"/>
      <c r="W64" s="983"/>
      <c r="X64" s="998"/>
      <c r="Y64" s="926"/>
      <c r="Z64" s="1018">
        <v>500</v>
      </c>
      <c r="AA64" s="992">
        <v>10000</v>
      </c>
      <c r="AB64" s="993">
        <v>0.2</v>
      </c>
      <c r="AC64" s="988"/>
      <c r="AD64" s="989"/>
      <c r="AE64" s="988"/>
      <c r="AF64" s="989"/>
      <c r="AG64" s="988"/>
      <c r="AH64" s="989"/>
      <c r="AI64" s="988"/>
      <c r="AJ64" s="989"/>
      <c r="AK64" s="921"/>
      <c r="AL64" s="1019">
        <v>100</v>
      </c>
      <c r="AM64" s="1019">
        <v>100</v>
      </c>
      <c r="AN64" s="921"/>
      <c r="AO64" s="921"/>
      <c r="AP64" s="921"/>
      <c r="AQ64" s="921"/>
      <c r="AR64" s="921"/>
      <c r="AS64" s="921"/>
      <c r="AT64" s="921"/>
      <c r="AU64" s="921"/>
      <c r="AV64" s="921"/>
      <c r="AW64" s="921"/>
      <c r="AX64" s="921"/>
      <c r="AY64" s="921"/>
      <c r="AZ64" s="921"/>
      <c r="BA64" s="921"/>
      <c r="BB64" s="921"/>
      <c r="BC64" s="921"/>
      <c r="BD64" s="921"/>
      <c r="BE64" s="921"/>
    </row>
    <row r="65" spans="1:57" ht="14.25" thickTop="1" thickBot="1">
      <c r="A65" s="958">
        <v>53</v>
      </c>
      <c r="B65" s="959">
        <v>8</v>
      </c>
      <c r="C65" s="1026" t="s">
        <v>823</v>
      </c>
      <c r="D65" s="1012">
        <v>2.5000000000000001E-3</v>
      </c>
      <c r="E65" s="1027">
        <v>0.1273</v>
      </c>
      <c r="F65" s="1020">
        <v>0.1234</v>
      </c>
      <c r="G65" s="1032">
        <f t="shared" si="9"/>
        <v>2.5000000000000001E-3</v>
      </c>
      <c r="H65" s="1027">
        <v>0.1239</v>
      </c>
      <c r="I65" s="1020">
        <v>0.12</v>
      </c>
      <c r="J65" s="1033">
        <f t="shared" si="10"/>
        <v>2.5000000000000001E-3</v>
      </c>
      <c r="K65" s="1028">
        <v>0.11119999999999999</v>
      </c>
      <c r="L65" s="1020">
        <v>0.10730000000000001</v>
      </c>
      <c r="M65" s="1034">
        <f t="shared" si="11"/>
        <v>2.5000000000000001E-3</v>
      </c>
      <c r="N65" s="1029">
        <v>8.9300000000000004E-2</v>
      </c>
      <c r="O65" s="1023">
        <v>0</v>
      </c>
      <c r="P65" s="926"/>
      <c r="Q65" s="1035"/>
      <c r="R65" s="926"/>
      <c r="S65" s="1036">
        <f t="shared" si="12"/>
        <v>2.5000000000000001E-3</v>
      </c>
      <c r="T65" s="1029">
        <v>8.9300000000000004E-2</v>
      </c>
      <c r="U65" s="1029">
        <v>8.5500000000000007E-2</v>
      </c>
      <c r="V65" s="926"/>
      <c r="W65" s="983"/>
      <c r="X65" s="998"/>
      <c r="Y65" s="926"/>
      <c r="Z65" s="1018">
        <v>500</v>
      </c>
      <c r="AA65" s="992">
        <v>10000</v>
      </c>
      <c r="AB65" s="993">
        <v>0.2</v>
      </c>
      <c r="AC65" s="988"/>
      <c r="AD65" s="989"/>
      <c r="AE65" s="988"/>
      <c r="AF65" s="989"/>
      <c r="AG65" s="988"/>
      <c r="AH65" s="989"/>
      <c r="AI65" s="988"/>
      <c r="AJ65" s="989"/>
      <c r="AK65" s="921"/>
      <c r="AL65" s="1019">
        <v>100</v>
      </c>
      <c r="AM65" s="1019">
        <v>100</v>
      </c>
      <c r="AN65" s="921"/>
      <c r="AO65" s="921"/>
      <c r="AP65" s="921"/>
      <c r="AQ65" s="921"/>
      <c r="AR65" s="921"/>
      <c r="AS65" s="921"/>
      <c r="AT65" s="921"/>
      <c r="AU65" s="921"/>
      <c r="AV65" s="921"/>
      <c r="AW65" s="921"/>
      <c r="AX65" s="921"/>
      <c r="AY65" s="921"/>
      <c r="AZ65" s="921"/>
      <c r="BA65" s="921"/>
      <c r="BB65" s="921"/>
      <c r="BC65" s="921"/>
      <c r="BD65" s="921"/>
      <c r="BE65" s="921"/>
    </row>
    <row r="66" spans="1:57" ht="14.25" thickTop="1" thickBot="1">
      <c r="A66" s="958">
        <v>54</v>
      </c>
      <c r="B66" s="959">
        <v>9</v>
      </c>
      <c r="C66" s="1026" t="s">
        <v>824</v>
      </c>
      <c r="D66" s="1012">
        <v>2.5000000000000001E-3</v>
      </c>
      <c r="E66" s="1027">
        <v>0.127</v>
      </c>
      <c r="F66" s="1020">
        <v>0.1231</v>
      </c>
      <c r="G66" s="1032">
        <f t="shared" si="9"/>
        <v>2.5000000000000001E-3</v>
      </c>
      <c r="H66" s="1027">
        <v>0.1236</v>
      </c>
      <c r="I66" s="1020">
        <v>0.1197</v>
      </c>
      <c r="J66" s="1033">
        <f t="shared" si="10"/>
        <v>2.5000000000000001E-3</v>
      </c>
      <c r="K66" s="1028">
        <v>0.1109</v>
      </c>
      <c r="L66" s="1020">
        <v>0.1071</v>
      </c>
      <c r="M66" s="1034">
        <f t="shared" si="11"/>
        <v>2.5000000000000001E-3</v>
      </c>
      <c r="N66" s="1029">
        <v>8.9099999999999999E-2</v>
      </c>
      <c r="O66" s="1023">
        <v>0</v>
      </c>
      <c r="P66" s="926"/>
      <c r="Q66" s="1035"/>
      <c r="R66" s="926"/>
      <c r="S66" s="1036">
        <f t="shared" si="12"/>
        <v>2.5000000000000001E-3</v>
      </c>
      <c r="T66" s="1029">
        <v>8.9099999999999999E-2</v>
      </c>
      <c r="U66" s="1029">
        <v>8.5300000000000001E-2</v>
      </c>
      <c r="V66" s="926"/>
      <c r="W66" s="983"/>
      <c r="X66" s="998"/>
      <c r="Y66" s="926"/>
      <c r="Z66" s="1018">
        <v>500</v>
      </c>
      <c r="AA66" s="992">
        <v>10000</v>
      </c>
      <c r="AB66" s="993">
        <v>0.2</v>
      </c>
      <c r="AC66" s="988"/>
      <c r="AD66" s="989"/>
      <c r="AE66" s="988"/>
      <c r="AF66" s="989"/>
      <c r="AG66" s="988"/>
      <c r="AH66" s="989"/>
      <c r="AI66" s="988"/>
      <c r="AJ66" s="989"/>
      <c r="AK66" s="921"/>
      <c r="AL66" s="1019">
        <v>100</v>
      </c>
      <c r="AM66" s="1019">
        <v>100</v>
      </c>
      <c r="AN66" s="921"/>
      <c r="AO66" s="921"/>
      <c r="AP66" s="921"/>
      <c r="AQ66" s="921"/>
      <c r="AR66" s="921"/>
      <c r="AS66" s="921"/>
      <c r="AT66" s="921"/>
      <c r="AU66" s="921"/>
      <c r="AV66" s="921"/>
      <c r="AW66" s="921"/>
      <c r="AX66" s="921"/>
      <c r="AY66" s="921"/>
      <c r="AZ66" s="921"/>
      <c r="BA66" s="921"/>
      <c r="BB66" s="921"/>
      <c r="BC66" s="921"/>
      <c r="BD66" s="921"/>
      <c r="BE66" s="921"/>
    </row>
    <row r="67" spans="1:57" ht="14.25" thickTop="1" thickBot="1">
      <c r="A67" s="958">
        <v>55</v>
      </c>
      <c r="B67" s="959">
        <v>10</v>
      </c>
      <c r="C67" s="1026" t="s">
        <v>825</v>
      </c>
      <c r="D67" s="1012">
        <v>0</v>
      </c>
      <c r="E67" s="1027">
        <v>0.127</v>
      </c>
      <c r="F67" s="1020">
        <v>0.1231</v>
      </c>
      <c r="G67" s="1032">
        <v>2.5000000000000001E-3</v>
      </c>
      <c r="H67" s="1027">
        <v>0.1236</v>
      </c>
      <c r="I67" s="1020">
        <v>0.1197</v>
      </c>
      <c r="J67" s="1033">
        <v>2.5000000000000001E-3</v>
      </c>
      <c r="K67" s="1028">
        <v>0.1109</v>
      </c>
      <c r="L67" s="1020">
        <v>0.1071</v>
      </c>
      <c r="M67" s="1034">
        <v>2.5000000000000001E-3</v>
      </c>
      <c r="N67" s="1029">
        <v>8.9099999999999999E-2</v>
      </c>
      <c r="O67" s="1023">
        <v>0</v>
      </c>
      <c r="P67" s="926"/>
      <c r="Q67" s="1035"/>
      <c r="R67" s="926"/>
      <c r="S67" s="1036">
        <v>0</v>
      </c>
      <c r="T67" s="1029">
        <v>8.9099999999999999E-2</v>
      </c>
      <c r="U67" s="1029">
        <v>8.5300000000000001E-2</v>
      </c>
      <c r="V67" s="926"/>
      <c r="W67" s="983"/>
      <c r="X67" s="998"/>
      <c r="Y67" s="926"/>
      <c r="Z67" s="1018">
        <v>500</v>
      </c>
      <c r="AA67" s="992">
        <v>10000</v>
      </c>
      <c r="AB67" s="993">
        <v>0.2</v>
      </c>
      <c r="AC67" s="988"/>
      <c r="AD67" s="989"/>
      <c r="AE67" s="988"/>
      <c r="AF67" s="989"/>
      <c r="AG67" s="988"/>
      <c r="AH67" s="989"/>
      <c r="AI67" s="988"/>
      <c r="AJ67" s="989"/>
      <c r="AK67" s="921"/>
      <c r="AL67" s="1019">
        <v>100</v>
      </c>
      <c r="AM67" s="1019">
        <v>100</v>
      </c>
      <c r="AN67" s="921"/>
      <c r="AO67" s="921"/>
      <c r="AP67" s="921"/>
      <c r="AQ67" s="921"/>
      <c r="AR67" s="921"/>
      <c r="AS67" s="921"/>
      <c r="AT67" s="921"/>
      <c r="AU67" s="921"/>
      <c r="AV67" s="921"/>
      <c r="AW67" s="921"/>
      <c r="AX67" s="921"/>
      <c r="AY67" s="921"/>
      <c r="AZ67" s="921"/>
      <c r="BA67" s="921"/>
      <c r="BB67" s="921"/>
      <c r="BC67" s="921"/>
      <c r="BD67" s="921"/>
      <c r="BE67" s="921"/>
    </row>
    <row r="68" spans="1:57" ht="14.25" thickTop="1" thickBot="1">
      <c r="A68" s="958">
        <v>56</v>
      </c>
      <c r="B68" s="959">
        <v>11</v>
      </c>
      <c r="C68" s="1026" t="s">
        <v>826</v>
      </c>
      <c r="D68" s="1012">
        <v>0</v>
      </c>
      <c r="E68" s="1027">
        <v>0.127</v>
      </c>
      <c r="F68" s="1020">
        <v>0.1231</v>
      </c>
      <c r="G68" s="1032">
        <v>2.5000000000000001E-3</v>
      </c>
      <c r="H68" s="1027">
        <v>0.1236</v>
      </c>
      <c r="I68" s="1020">
        <v>0.1197</v>
      </c>
      <c r="J68" s="1033">
        <v>2.5000000000000001E-3</v>
      </c>
      <c r="K68" s="1028">
        <v>0.1109</v>
      </c>
      <c r="L68" s="1020">
        <v>0.1071</v>
      </c>
      <c r="M68" s="1034">
        <v>2.5000000000000001E-3</v>
      </c>
      <c r="N68" s="1029">
        <v>8.9099999999999999E-2</v>
      </c>
      <c r="O68" s="1023">
        <v>0</v>
      </c>
      <c r="P68" s="926"/>
      <c r="Q68" s="1035"/>
      <c r="R68" s="926"/>
      <c r="S68" s="1036">
        <v>0</v>
      </c>
      <c r="T68" s="1029">
        <v>8.9099999999999999E-2</v>
      </c>
      <c r="U68" s="1029">
        <v>8.5300000000000001E-2</v>
      </c>
      <c r="V68" s="926"/>
      <c r="W68" s="983"/>
      <c r="X68" s="998"/>
      <c r="Y68" s="926"/>
      <c r="Z68" s="1018">
        <v>500</v>
      </c>
      <c r="AA68" s="992">
        <v>10000</v>
      </c>
      <c r="AB68" s="993">
        <v>0.2</v>
      </c>
      <c r="AC68" s="988"/>
      <c r="AD68" s="989"/>
      <c r="AE68" s="988"/>
      <c r="AF68" s="989"/>
      <c r="AG68" s="988"/>
      <c r="AH68" s="989"/>
      <c r="AI68" s="988"/>
      <c r="AJ68" s="989"/>
      <c r="AK68" s="921"/>
      <c r="AL68" s="1019">
        <v>100</v>
      </c>
      <c r="AM68" s="1019">
        <v>100</v>
      </c>
      <c r="AN68" s="921"/>
      <c r="AO68" s="921"/>
      <c r="AP68" s="921"/>
      <c r="AQ68" s="921"/>
      <c r="AR68" s="921"/>
      <c r="AS68" s="921"/>
      <c r="AT68" s="921"/>
      <c r="AU68" s="921"/>
      <c r="AV68" s="921"/>
      <c r="AW68" s="921"/>
      <c r="AX68" s="921"/>
      <c r="AY68" s="921"/>
      <c r="AZ68" s="921"/>
      <c r="BA68" s="921"/>
      <c r="BB68" s="921"/>
      <c r="BC68" s="921"/>
      <c r="BD68" s="921"/>
      <c r="BE68" s="921"/>
    </row>
    <row r="69" spans="1:57" ht="14.25" thickTop="1" thickBot="1">
      <c r="A69" s="958">
        <v>57</v>
      </c>
      <c r="B69" s="959">
        <v>12</v>
      </c>
      <c r="C69" s="1026" t="s">
        <v>827</v>
      </c>
      <c r="D69" s="1012">
        <v>0</v>
      </c>
      <c r="E69" s="1027">
        <v>0.127</v>
      </c>
      <c r="F69" s="1020">
        <v>0.1231</v>
      </c>
      <c r="G69" s="1032">
        <v>2.5000000000000001E-3</v>
      </c>
      <c r="H69" s="1027">
        <v>0.1236</v>
      </c>
      <c r="I69" s="1020">
        <v>0.1197</v>
      </c>
      <c r="J69" s="1033">
        <v>2.5000000000000001E-3</v>
      </c>
      <c r="K69" s="1028">
        <v>0.1109</v>
      </c>
      <c r="L69" s="1020">
        <v>0.1071</v>
      </c>
      <c r="M69" s="1034">
        <v>2.5000000000000001E-3</v>
      </c>
      <c r="N69" s="1029">
        <v>8.9099999999999999E-2</v>
      </c>
      <c r="O69" s="1023">
        <v>0</v>
      </c>
      <c r="P69" s="926"/>
      <c r="Q69" s="1035"/>
      <c r="R69" s="926"/>
      <c r="S69" s="1036">
        <v>0</v>
      </c>
      <c r="T69" s="1029">
        <v>8.9099999999999999E-2</v>
      </c>
      <c r="U69" s="1029">
        <v>8.5300000000000001E-2</v>
      </c>
      <c r="V69" s="926"/>
      <c r="W69" s="983"/>
      <c r="X69" s="998"/>
      <c r="Y69" s="926"/>
      <c r="Z69" s="1018">
        <v>500</v>
      </c>
      <c r="AA69" s="992">
        <v>10000</v>
      </c>
      <c r="AB69" s="993">
        <v>0.2</v>
      </c>
      <c r="AC69" s="988"/>
      <c r="AD69" s="989"/>
      <c r="AE69" s="988"/>
      <c r="AF69" s="989"/>
      <c r="AG69" s="988"/>
      <c r="AH69" s="989"/>
      <c r="AI69" s="988"/>
      <c r="AJ69" s="989"/>
      <c r="AK69" s="921"/>
      <c r="AL69" s="1019">
        <v>100</v>
      </c>
      <c r="AM69" s="1019">
        <v>100</v>
      </c>
      <c r="AN69" s="921"/>
      <c r="AO69" s="921"/>
      <c r="AP69" s="921"/>
      <c r="AQ69" s="921"/>
      <c r="AR69" s="921"/>
      <c r="AS69" s="921"/>
      <c r="AT69" s="921"/>
      <c r="AU69" s="921"/>
      <c r="AV69" s="921"/>
      <c r="AW69" s="921"/>
      <c r="AX69" s="921"/>
      <c r="AY69" s="921"/>
      <c r="AZ69" s="921"/>
      <c r="BA69" s="921"/>
      <c r="BB69" s="921"/>
      <c r="BC69" s="921"/>
      <c r="BD69" s="921"/>
      <c r="BE69" s="921"/>
    </row>
    <row r="70" spans="1:57" ht="14.25" thickTop="1" thickBot="1">
      <c r="A70" s="958">
        <v>58</v>
      </c>
      <c r="B70" s="959">
        <v>1</v>
      </c>
      <c r="C70" s="1026" t="s">
        <v>828</v>
      </c>
      <c r="D70" s="1012">
        <v>0</v>
      </c>
      <c r="E70" s="1027">
        <f t="shared" ref="E70:F72" si="13">IF(ISNUMBER($D70),ROUND(E69*(1-$D70),4),0)</f>
        <v>0.127</v>
      </c>
      <c r="F70" s="1020">
        <f t="shared" si="13"/>
        <v>0.1231</v>
      </c>
      <c r="G70" s="1032">
        <f>IF(ISNUMBER($D70),$D70,"")</f>
        <v>0</v>
      </c>
      <c r="H70" s="1027">
        <f t="shared" ref="H70:I72" si="14">IF(ISNUMBER($D70),ROUND(H69*(1-$D70),4),0)</f>
        <v>0.1236</v>
      </c>
      <c r="I70" s="1020">
        <f t="shared" si="14"/>
        <v>0.1197</v>
      </c>
      <c r="J70" s="1033">
        <v>0</v>
      </c>
      <c r="K70" s="1028">
        <f t="shared" ref="K70:L72" si="15">IF(ISNUMBER($D70),ROUND(K69*(1-$D70),4),0)</f>
        <v>0.1109</v>
      </c>
      <c r="L70" s="1020">
        <f t="shared" si="15"/>
        <v>0.1071</v>
      </c>
      <c r="M70" s="1034">
        <f>IF(ISNUMBER($D70),$D70,"")</f>
        <v>0</v>
      </c>
      <c r="N70" s="1029">
        <f>IF(ISNUMBER($D70),ROUND(N69*(1-$D70),4),0)</f>
        <v>8.9099999999999999E-2</v>
      </c>
      <c r="O70" s="1023">
        <v>0</v>
      </c>
      <c r="P70" s="926"/>
      <c r="Q70" s="1035"/>
      <c r="R70" s="926"/>
      <c r="S70" s="1036">
        <f>IF(ISNUMBER($D70),$D70,"")</f>
        <v>0</v>
      </c>
      <c r="T70" s="1029">
        <f t="shared" ref="T70:U72" si="16">IF(ISNUMBER($D70),ROUND(T69*(1-$D70),4),0)</f>
        <v>8.9099999999999999E-2</v>
      </c>
      <c r="U70" s="1029">
        <f t="shared" si="16"/>
        <v>8.5300000000000001E-2</v>
      </c>
      <c r="V70" s="926"/>
      <c r="W70" s="983"/>
      <c r="X70" s="998"/>
      <c r="Y70" s="926"/>
      <c r="Z70" s="1018">
        <v>100</v>
      </c>
      <c r="AA70" s="992">
        <v>10000</v>
      </c>
      <c r="AB70" s="993">
        <v>0.2</v>
      </c>
      <c r="AC70" s="988"/>
      <c r="AD70" s="989"/>
      <c r="AE70" s="988"/>
      <c r="AF70" s="989"/>
      <c r="AG70" s="988"/>
      <c r="AH70" s="989"/>
      <c r="AI70" s="988"/>
      <c r="AJ70" s="989"/>
      <c r="AK70" s="921"/>
      <c r="AL70" s="1019">
        <v>100</v>
      </c>
      <c r="AM70" s="1019">
        <v>100</v>
      </c>
      <c r="AN70" s="921"/>
      <c r="AO70" s="921"/>
      <c r="AP70" s="921"/>
      <c r="AQ70" s="921"/>
      <c r="AR70" s="921"/>
      <c r="AS70" s="921"/>
      <c r="AT70" s="921"/>
      <c r="AU70" s="921"/>
      <c r="AV70" s="921"/>
      <c r="AW70" s="921"/>
      <c r="AX70" s="921"/>
      <c r="AY70" s="921"/>
      <c r="AZ70" s="921"/>
      <c r="BA70" s="921"/>
      <c r="BB70" s="921"/>
      <c r="BC70" s="921"/>
      <c r="BD70" s="921"/>
      <c r="BE70" s="921"/>
    </row>
    <row r="71" spans="1:57" ht="14.25" thickTop="1" thickBot="1">
      <c r="A71" s="958">
        <v>59</v>
      </c>
      <c r="B71" s="959">
        <v>2</v>
      </c>
      <c r="C71" s="1026" t="s">
        <v>829</v>
      </c>
      <c r="D71" s="1012">
        <v>0</v>
      </c>
      <c r="E71" s="1027">
        <f t="shared" si="13"/>
        <v>0.127</v>
      </c>
      <c r="F71" s="1020">
        <f t="shared" si="13"/>
        <v>0.1231</v>
      </c>
      <c r="G71" s="1032">
        <f t="shared" ref="G71:G91" si="17">IF(ISNUMBER($D71),$D71,"")</f>
        <v>0</v>
      </c>
      <c r="H71" s="1027">
        <f t="shared" si="14"/>
        <v>0.1236</v>
      </c>
      <c r="I71" s="1020">
        <f t="shared" si="14"/>
        <v>0.1197</v>
      </c>
      <c r="J71" s="1033">
        <v>0</v>
      </c>
      <c r="K71" s="1028">
        <f t="shared" si="15"/>
        <v>0.1109</v>
      </c>
      <c r="L71" s="1020">
        <f t="shared" si="15"/>
        <v>0.1071</v>
      </c>
      <c r="M71" s="1034">
        <f>IF(ISNUMBER($D71),$D71,"")</f>
        <v>0</v>
      </c>
      <c r="N71" s="1029">
        <f>IF(ISNUMBER($D71),ROUND(N70*(1-$D71),4),0)</f>
        <v>8.9099999999999999E-2</v>
      </c>
      <c r="O71" s="1023">
        <v>0</v>
      </c>
      <c r="P71" s="926"/>
      <c r="Q71" s="1035"/>
      <c r="R71" s="926"/>
      <c r="S71" s="1036">
        <f>IF(ISNUMBER($D71),$D71,"")</f>
        <v>0</v>
      </c>
      <c r="T71" s="1029">
        <f t="shared" si="16"/>
        <v>8.9099999999999999E-2</v>
      </c>
      <c r="U71" s="1029">
        <f t="shared" si="16"/>
        <v>8.5300000000000001E-2</v>
      </c>
      <c r="V71" s="926"/>
      <c r="W71" s="983"/>
      <c r="X71" s="998"/>
      <c r="Y71" s="926"/>
      <c r="Z71" s="1018">
        <v>100</v>
      </c>
      <c r="AA71" s="992">
        <v>10000</v>
      </c>
      <c r="AB71" s="993">
        <v>0.2</v>
      </c>
      <c r="AC71" s="988"/>
      <c r="AD71" s="989"/>
      <c r="AE71" s="988"/>
      <c r="AF71" s="989"/>
      <c r="AG71" s="988"/>
      <c r="AH71" s="989"/>
      <c r="AI71" s="988"/>
      <c r="AJ71" s="989"/>
      <c r="AK71" s="921"/>
      <c r="AL71" s="1019">
        <v>100</v>
      </c>
      <c r="AM71" s="1019">
        <v>100</v>
      </c>
      <c r="AN71" s="921"/>
      <c r="AO71" s="921"/>
      <c r="AP71" s="921"/>
      <c r="AQ71" s="921"/>
      <c r="AR71" s="921"/>
      <c r="AS71" s="921"/>
      <c r="AT71" s="921"/>
      <c r="AU71" s="921"/>
      <c r="AV71" s="921"/>
      <c r="AW71" s="921"/>
      <c r="AX71" s="921"/>
      <c r="AY71" s="921"/>
      <c r="AZ71" s="921"/>
      <c r="BA71" s="921"/>
      <c r="BB71" s="921"/>
      <c r="BC71" s="921"/>
      <c r="BD71" s="921"/>
      <c r="BE71" s="921"/>
    </row>
    <row r="72" spans="1:57" ht="14.25" thickTop="1" thickBot="1">
      <c r="A72" s="958">
        <v>60</v>
      </c>
      <c r="B72" s="959">
        <v>3</v>
      </c>
      <c r="C72" s="1026" t="s">
        <v>830</v>
      </c>
      <c r="D72" s="1012">
        <v>0</v>
      </c>
      <c r="E72" s="1027">
        <f t="shared" si="13"/>
        <v>0.127</v>
      </c>
      <c r="F72" s="1020">
        <f t="shared" si="13"/>
        <v>0.1231</v>
      </c>
      <c r="G72" s="1032">
        <f t="shared" si="17"/>
        <v>0</v>
      </c>
      <c r="H72" s="1027">
        <f t="shared" si="14"/>
        <v>0.1236</v>
      </c>
      <c r="I72" s="1020">
        <f t="shared" si="14"/>
        <v>0.1197</v>
      </c>
      <c r="J72" s="1033">
        <v>0</v>
      </c>
      <c r="K72" s="1028">
        <f t="shared" si="15"/>
        <v>0.1109</v>
      </c>
      <c r="L72" s="1020">
        <f t="shared" si="15"/>
        <v>0.1071</v>
      </c>
      <c r="M72" s="1034">
        <f>IF(ISNUMBER($D72),$D72,"")</f>
        <v>0</v>
      </c>
      <c r="N72" s="1029">
        <f>IF(ISNUMBER($D72),ROUND(N71*(1-$D72),4),0)</f>
        <v>8.9099999999999999E-2</v>
      </c>
      <c r="O72" s="1023">
        <v>0</v>
      </c>
      <c r="P72" s="926"/>
      <c r="Q72" s="1035"/>
      <c r="R72" s="926"/>
      <c r="S72" s="1036">
        <f>IF(ISNUMBER($D72),$D72,"")</f>
        <v>0</v>
      </c>
      <c r="T72" s="1029">
        <f t="shared" si="16"/>
        <v>8.9099999999999999E-2</v>
      </c>
      <c r="U72" s="1029">
        <f t="shared" si="16"/>
        <v>8.5300000000000001E-2</v>
      </c>
      <c r="V72" s="926"/>
      <c r="W72" s="983"/>
      <c r="X72" s="998"/>
      <c r="Y72" s="926"/>
      <c r="Z72" s="1018">
        <v>100</v>
      </c>
      <c r="AA72" s="992">
        <v>10000</v>
      </c>
      <c r="AB72" s="993">
        <v>0.2</v>
      </c>
      <c r="AC72" s="988"/>
      <c r="AD72" s="989"/>
      <c r="AE72" s="988"/>
      <c r="AF72" s="989"/>
      <c r="AG72" s="988"/>
      <c r="AH72" s="989"/>
      <c r="AI72" s="988"/>
      <c r="AJ72" s="989"/>
      <c r="AK72" s="921"/>
      <c r="AL72" s="1019">
        <v>100</v>
      </c>
      <c r="AM72" s="1019">
        <v>100</v>
      </c>
      <c r="AN72" s="921"/>
      <c r="AO72" s="921"/>
      <c r="AP72" s="921"/>
      <c r="AQ72" s="921"/>
      <c r="AR72" s="921"/>
      <c r="AS72" s="921"/>
      <c r="AT72" s="921"/>
      <c r="AU72" s="921"/>
      <c r="AV72" s="921"/>
      <c r="AW72" s="921"/>
      <c r="AX72" s="921"/>
      <c r="AY72" s="921"/>
      <c r="AZ72" s="921"/>
      <c r="BA72" s="921"/>
      <c r="BB72" s="921"/>
      <c r="BC72" s="921"/>
      <c r="BD72" s="921"/>
      <c r="BE72" s="921"/>
    </row>
    <row r="73" spans="1:57" ht="14.25" thickTop="1" thickBot="1">
      <c r="A73" s="958">
        <v>61</v>
      </c>
      <c r="B73" s="959">
        <v>4</v>
      </c>
      <c r="C73" s="1026" t="s">
        <v>871</v>
      </c>
      <c r="D73" s="1012">
        <v>0</v>
      </c>
      <c r="E73" s="1027">
        <v>0.127</v>
      </c>
      <c r="F73" s="1020">
        <v>0.1231</v>
      </c>
      <c r="G73" s="1032">
        <v>0</v>
      </c>
      <c r="H73" s="1027">
        <v>0.1236</v>
      </c>
      <c r="I73" s="1020">
        <v>0.1197</v>
      </c>
      <c r="J73" s="1033">
        <v>0</v>
      </c>
      <c r="K73" s="1028">
        <v>0.1109</v>
      </c>
      <c r="L73" s="1020">
        <v>0.1071</v>
      </c>
      <c r="M73" s="1034">
        <v>0</v>
      </c>
      <c r="N73" s="1029">
        <v>8.9099999999999999E-2</v>
      </c>
      <c r="O73" s="1023">
        <v>0</v>
      </c>
      <c r="P73" s="926"/>
      <c r="Q73" s="1035"/>
      <c r="R73" s="926"/>
      <c r="S73" s="1036">
        <v>0</v>
      </c>
      <c r="T73" s="1029">
        <v>8.9099999999999999E-2</v>
      </c>
      <c r="U73" s="1029">
        <v>8.5300000000000001E-2</v>
      </c>
      <c r="V73" s="926"/>
      <c r="W73" s="983"/>
      <c r="X73" s="998"/>
      <c r="Y73" s="926"/>
      <c r="Z73" s="1018">
        <v>100</v>
      </c>
      <c r="AA73" s="992">
        <v>10000</v>
      </c>
      <c r="AB73" s="993">
        <v>0.2</v>
      </c>
      <c r="AC73" s="988"/>
      <c r="AD73" s="989"/>
      <c r="AE73" s="988"/>
      <c r="AF73" s="989"/>
      <c r="AG73" s="988"/>
      <c r="AH73" s="989"/>
      <c r="AI73" s="988"/>
      <c r="AJ73" s="989"/>
      <c r="AK73" s="921"/>
      <c r="AL73" s="1019">
        <v>100</v>
      </c>
      <c r="AM73" s="1019">
        <v>100</v>
      </c>
      <c r="AN73" s="921"/>
      <c r="AO73" s="921"/>
      <c r="AP73" s="921"/>
      <c r="AQ73" s="921"/>
      <c r="AR73" s="921"/>
      <c r="AS73" s="921"/>
      <c r="AT73" s="921"/>
      <c r="AU73" s="921"/>
      <c r="AV73" s="921"/>
      <c r="AW73" s="921"/>
      <c r="AX73" s="921"/>
      <c r="AY73" s="921"/>
      <c r="AZ73" s="921"/>
      <c r="BA73" s="921"/>
      <c r="BB73" s="921"/>
      <c r="BC73" s="921"/>
      <c r="BD73" s="921"/>
      <c r="BE73" s="921"/>
    </row>
    <row r="74" spans="1:57" ht="14.25" thickTop="1" thickBot="1">
      <c r="A74" s="958">
        <v>62</v>
      </c>
      <c r="B74" s="959">
        <v>5</v>
      </c>
      <c r="C74" s="1026" t="s">
        <v>872</v>
      </c>
      <c r="D74" s="1012">
        <v>0</v>
      </c>
      <c r="E74" s="1027">
        <v>0.127</v>
      </c>
      <c r="F74" s="1020">
        <v>0.1231</v>
      </c>
      <c r="G74" s="1032">
        <v>0</v>
      </c>
      <c r="H74" s="1027">
        <v>0.1236</v>
      </c>
      <c r="I74" s="1020">
        <v>0.1197</v>
      </c>
      <c r="J74" s="1033">
        <v>0</v>
      </c>
      <c r="K74" s="1028">
        <v>0.1109</v>
      </c>
      <c r="L74" s="1020">
        <v>0.1071</v>
      </c>
      <c r="M74" s="1034">
        <v>0</v>
      </c>
      <c r="N74" s="1029">
        <v>8.9099999999999999E-2</v>
      </c>
      <c r="O74" s="1023">
        <v>0</v>
      </c>
      <c r="P74" s="926"/>
      <c r="Q74" s="1035"/>
      <c r="R74" s="926"/>
      <c r="S74" s="1036">
        <v>0</v>
      </c>
      <c r="T74" s="1029">
        <v>8.9099999999999999E-2</v>
      </c>
      <c r="U74" s="1029">
        <v>8.5300000000000001E-2</v>
      </c>
      <c r="V74" s="926"/>
      <c r="W74" s="983"/>
      <c r="X74" s="998"/>
      <c r="Y74" s="926"/>
      <c r="Z74" s="1018">
        <v>100</v>
      </c>
      <c r="AA74" s="992">
        <v>10000</v>
      </c>
      <c r="AB74" s="993">
        <v>0.2</v>
      </c>
      <c r="AC74" s="988"/>
      <c r="AD74" s="989"/>
      <c r="AE74" s="988"/>
      <c r="AF74" s="989"/>
      <c r="AG74" s="988"/>
      <c r="AH74" s="989"/>
      <c r="AI74" s="988"/>
      <c r="AJ74" s="989"/>
      <c r="AK74" s="921"/>
      <c r="AL74" s="1019">
        <v>100</v>
      </c>
      <c r="AM74" s="1019">
        <v>100</v>
      </c>
      <c r="AN74" s="921"/>
      <c r="AO74" s="921"/>
      <c r="AP74" s="921"/>
      <c r="AQ74" s="921"/>
      <c r="AR74" s="921"/>
      <c r="AS74" s="921"/>
      <c r="AT74" s="921"/>
      <c r="AU74" s="921"/>
      <c r="AV74" s="921"/>
      <c r="AW74" s="921"/>
      <c r="AX74" s="921"/>
      <c r="AY74" s="921"/>
      <c r="AZ74" s="921"/>
      <c r="BA74" s="921"/>
      <c r="BB74" s="921"/>
      <c r="BC74" s="921"/>
      <c r="BD74" s="921"/>
      <c r="BE74" s="921"/>
    </row>
    <row r="75" spans="1:57" ht="14.25" thickTop="1" thickBot="1">
      <c r="A75" s="958">
        <v>63</v>
      </c>
      <c r="B75" s="959">
        <v>6</v>
      </c>
      <c r="C75" s="1026" t="s">
        <v>873</v>
      </c>
      <c r="D75" s="1012">
        <v>0</v>
      </c>
      <c r="E75" s="1027">
        <v>0.127</v>
      </c>
      <c r="F75" s="1020">
        <v>0.1231</v>
      </c>
      <c r="G75" s="1032">
        <v>0</v>
      </c>
      <c r="H75" s="1027">
        <v>0.1236</v>
      </c>
      <c r="I75" s="1020">
        <v>0.1197</v>
      </c>
      <c r="J75" s="1033">
        <v>0</v>
      </c>
      <c r="K75" s="1028">
        <v>0.1109</v>
      </c>
      <c r="L75" s="1020">
        <v>0.1071</v>
      </c>
      <c r="M75" s="1034">
        <v>0</v>
      </c>
      <c r="N75" s="1029">
        <v>8.9099999999999999E-2</v>
      </c>
      <c r="O75" s="1023">
        <v>0</v>
      </c>
      <c r="P75" s="926"/>
      <c r="Q75" s="1035"/>
      <c r="R75" s="926"/>
      <c r="S75" s="1036">
        <v>0</v>
      </c>
      <c r="T75" s="1029">
        <v>8.9099999999999999E-2</v>
      </c>
      <c r="U75" s="1029">
        <v>8.5300000000000001E-2</v>
      </c>
      <c r="V75" s="926"/>
      <c r="W75" s="983"/>
      <c r="X75" s="998"/>
      <c r="Y75" s="926"/>
      <c r="Z75" s="1018">
        <v>100</v>
      </c>
      <c r="AA75" s="992">
        <v>10000</v>
      </c>
      <c r="AB75" s="993">
        <v>0.2</v>
      </c>
      <c r="AC75" s="988"/>
      <c r="AD75" s="989"/>
      <c r="AE75" s="988"/>
      <c r="AF75" s="989"/>
      <c r="AG75" s="988"/>
      <c r="AH75" s="989"/>
      <c r="AI75" s="988"/>
      <c r="AJ75" s="989"/>
      <c r="AK75" s="921"/>
      <c r="AL75" s="1019">
        <v>100</v>
      </c>
      <c r="AM75" s="1019">
        <v>100</v>
      </c>
      <c r="AN75" s="921"/>
      <c r="AO75" s="921"/>
      <c r="AP75" s="921"/>
      <c r="AQ75" s="921"/>
      <c r="AR75" s="921"/>
      <c r="AS75" s="921"/>
      <c r="AT75" s="921"/>
      <c r="AU75" s="921"/>
      <c r="AV75" s="921"/>
      <c r="AW75" s="921"/>
      <c r="AX75" s="921"/>
      <c r="AY75" s="921"/>
      <c r="AZ75" s="921"/>
      <c r="BA75" s="921"/>
      <c r="BB75" s="921"/>
      <c r="BC75" s="921"/>
      <c r="BD75" s="921"/>
      <c r="BE75" s="921"/>
    </row>
    <row r="76" spans="1:57" ht="14.25" thickTop="1" thickBot="1">
      <c r="A76" s="958">
        <v>64</v>
      </c>
      <c r="B76" s="959">
        <v>7</v>
      </c>
      <c r="C76" s="1026" t="s">
        <v>874</v>
      </c>
      <c r="D76" s="1012">
        <v>0</v>
      </c>
      <c r="E76" s="1027">
        <v>0.127</v>
      </c>
      <c r="F76" s="1020">
        <v>0.1231</v>
      </c>
      <c r="G76" s="1032">
        <v>0</v>
      </c>
      <c r="H76" s="1027">
        <v>0.1236</v>
      </c>
      <c r="I76" s="1020">
        <v>0.1197</v>
      </c>
      <c r="J76" s="1033">
        <v>0</v>
      </c>
      <c r="K76" s="1028">
        <v>0.1109</v>
      </c>
      <c r="L76" s="1020">
        <v>0.1071</v>
      </c>
      <c r="M76" s="1034">
        <v>0</v>
      </c>
      <c r="N76" s="1029">
        <v>8.9099999999999999E-2</v>
      </c>
      <c r="O76" s="1023">
        <v>0</v>
      </c>
      <c r="P76" s="926"/>
      <c r="Q76" s="1035"/>
      <c r="R76" s="926"/>
      <c r="S76" s="1036">
        <v>0</v>
      </c>
      <c r="T76" s="1029">
        <v>8.9099999999999999E-2</v>
      </c>
      <c r="U76" s="1029">
        <v>8.5300000000000001E-2</v>
      </c>
      <c r="V76" s="926"/>
      <c r="W76" s="983"/>
      <c r="X76" s="998"/>
      <c r="Y76" s="926"/>
      <c r="Z76" s="1018">
        <v>100</v>
      </c>
      <c r="AA76" s="992">
        <v>10000</v>
      </c>
      <c r="AB76" s="993">
        <v>0.2</v>
      </c>
      <c r="AC76" s="988"/>
      <c r="AD76" s="989"/>
      <c r="AE76" s="988"/>
      <c r="AF76" s="989"/>
      <c r="AG76" s="988"/>
      <c r="AH76" s="989"/>
      <c r="AI76" s="988"/>
      <c r="AJ76" s="989"/>
      <c r="AK76" s="921"/>
      <c r="AL76" s="1019">
        <v>100</v>
      </c>
      <c r="AM76" s="1019">
        <v>100</v>
      </c>
      <c r="AN76" s="921"/>
      <c r="AO76" s="921"/>
      <c r="AP76" s="921"/>
      <c r="AQ76" s="921"/>
      <c r="AR76" s="921"/>
      <c r="AS76" s="921"/>
      <c r="AT76" s="921"/>
      <c r="AU76" s="921"/>
      <c r="AV76" s="921"/>
      <c r="AW76" s="921"/>
      <c r="AX76" s="921"/>
      <c r="AY76" s="921"/>
      <c r="AZ76" s="921"/>
      <c r="BA76" s="921"/>
      <c r="BB76" s="921"/>
      <c r="BC76" s="921"/>
      <c r="BD76" s="921"/>
      <c r="BE76" s="921"/>
    </row>
    <row r="77" spans="1:57" ht="14.25" thickTop="1" thickBot="1">
      <c r="A77" s="958">
        <v>65</v>
      </c>
      <c r="B77" s="959">
        <v>8</v>
      </c>
      <c r="C77" s="1026" t="s">
        <v>875</v>
      </c>
      <c r="D77" s="1012">
        <v>0</v>
      </c>
      <c r="E77" s="1027">
        <v>0.127</v>
      </c>
      <c r="F77" s="1020">
        <v>0.1231</v>
      </c>
      <c r="G77" s="1032">
        <v>0</v>
      </c>
      <c r="H77" s="1027">
        <v>0.1236</v>
      </c>
      <c r="I77" s="1020">
        <v>0.1197</v>
      </c>
      <c r="J77" s="1033">
        <v>0</v>
      </c>
      <c r="K77" s="1028">
        <v>0.1109</v>
      </c>
      <c r="L77" s="1020">
        <v>0.1071</v>
      </c>
      <c r="M77" s="1034">
        <v>0</v>
      </c>
      <c r="N77" s="1029">
        <v>8.9099999999999999E-2</v>
      </c>
      <c r="O77" s="1023">
        <v>0</v>
      </c>
      <c r="P77" s="926"/>
      <c r="Q77" s="1035"/>
      <c r="R77" s="926"/>
      <c r="S77" s="1036">
        <v>0</v>
      </c>
      <c r="T77" s="1029">
        <v>8.9099999999999999E-2</v>
      </c>
      <c r="U77" s="1029">
        <v>8.5300000000000001E-2</v>
      </c>
      <c r="V77" s="926"/>
      <c r="W77" s="983"/>
      <c r="X77" s="998"/>
      <c r="Y77" s="926"/>
      <c r="Z77" s="1018">
        <v>100</v>
      </c>
      <c r="AA77" s="992">
        <v>10000</v>
      </c>
      <c r="AB77" s="993">
        <v>0.2</v>
      </c>
      <c r="AC77" s="988"/>
      <c r="AD77" s="989"/>
      <c r="AE77" s="988"/>
      <c r="AF77" s="989"/>
      <c r="AG77" s="988"/>
      <c r="AH77" s="989"/>
      <c r="AI77" s="988"/>
      <c r="AJ77" s="989"/>
      <c r="AK77" s="921"/>
      <c r="AL77" s="1019">
        <v>100</v>
      </c>
      <c r="AM77" s="1019">
        <v>100</v>
      </c>
      <c r="AN77" s="921"/>
      <c r="AO77" s="921"/>
      <c r="AP77" s="921"/>
      <c r="AQ77" s="921"/>
      <c r="AR77" s="921"/>
      <c r="AS77" s="921"/>
      <c r="AT77" s="921"/>
      <c r="AU77" s="921"/>
      <c r="AV77" s="921"/>
      <c r="AW77" s="921"/>
      <c r="AX77" s="921"/>
      <c r="AY77" s="921"/>
      <c r="AZ77" s="921"/>
      <c r="BA77" s="921"/>
      <c r="BB77" s="921"/>
      <c r="BC77" s="921"/>
      <c r="BD77" s="921"/>
      <c r="BE77" s="921"/>
    </row>
    <row r="78" spans="1:57" ht="14.25" thickTop="1" thickBot="1">
      <c r="A78" s="958">
        <v>66</v>
      </c>
      <c r="B78" s="959">
        <v>9</v>
      </c>
      <c r="C78" s="1026" t="s">
        <v>876</v>
      </c>
      <c r="D78" s="1012">
        <v>0</v>
      </c>
      <c r="E78" s="1027">
        <v>0.127</v>
      </c>
      <c r="F78" s="1020">
        <v>0.1231</v>
      </c>
      <c r="G78" s="1032">
        <v>0</v>
      </c>
      <c r="H78" s="1027">
        <v>0.1236</v>
      </c>
      <c r="I78" s="1020">
        <v>0.1197</v>
      </c>
      <c r="J78" s="1033">
        <v>0</v>
      </c>
      <c r="K78" s="1028">
        <v>0.1109</v>
      </c>
      <c r="L78" s="1020">
        <v>0.1071</v>
      </c>
      <c r="M78" s="1034">
        <v>0</v>
      </c>
      <c r="N78" s="1029">
        <v>8.9099999999999999E-2</v>
      </c>
      <c r="O78" s="1023">
        <v>0</v>
      </c>
      <c r="P78" s="926"/>
      <c r="Q78" s="1035"/>
      <c r="R78" s="926"/>
      <c r="S78" s="1036">
        <v>0</v>
      </c>
      <c r="T78" s="1029">
        <v>8.9099999999999999E-2</v>
      </c>
      <c r="U78" s="1029">
        <v>8.5300000000000001E-2</v>
      </c>
      <c r="V78" s="926"/>
      <c r="W78" s="983"/>
      <c r="X78" s="998"/>
      <c r="Y78" s="926"/>
      <c r="Z78" s="1018">
        <v>100</v>
      </c>
      <c r="AA78" s="992">
        <v>10000</v>
      </c>
      <c r="AB78" s="993">
        <v>0.2</v>
      </c>
      <c r="AC78" s="988"/>
      <c r="AD78" s="989"/>
      <c r="AE78" s="988"/>
      <c r="AF78" s="989"/>
      <c r="AG78" s="988"/>
      <c r="AH78" s="989"/>
      <c r="AI78" s="988"/>
      <c r="AJ78" s="989"/>
      <c r="AK78" s="921"/>
      <c r="AL78" s="1019">
        <v>100</v>
      </c>
      <c r="AM78" s="1019">
        <v>100</v>
      </c>
      <c r="AN78" s="921"/>
      <c r="AO78" s="921"/>
      <c r="AP78" s="921"/>
      <c r="AQ78" s="921"/>
      <c r="AR78" s="921"/>
      <c r="AS78" s="921"/>
      <c r="AT78" s="921"/>
      <c r="AU78" s="921"/>
      <c r="AV78" s="921"/>
      <c r="AW78" s="921"/>
      <c r="AX78" s="921"/>
      <c r="AY78" s="921"/>
      <c r="AZ78" s="921"/>
      <c r="BA78" s="921"/>
      <c r="BB78" s="921"/>
      <c r="BC78" s="921"/>
      <c r="BD78" s="921"/>
      <c r="BE78" s="921"/>
    </row>
    <row r="79" spans="1:57" ht="14.25" thickTop="1" thickBot="1">
      <c r="A79" s="958">
        <v>67</v>
      </c>
      <c r="B79" s="959">
        <v>10</v>
      </c>
      <c r="C79" s="1026" t="s">
        <v>877</v>
      </c>
      <c r="D79" s="1012">
        <v>0</v>
      </c>
      <c r="E79" s="1027">
        <v>0.127</v>
      </c>
      <c r="F79" s="1020">
        <v>0.1231</v>
      </c>
      <c r="G79" s="1032">
        <v>0</v>
      </c>
      <c r="H79" s="1027">
        <v>0.1236</v>
      </c>
      <c r="I79" s="1020">
        <v>0.1197</v>
      </c>
      <c r="J79" s="1033">
        <v>0</v>
      </c>
      <c r="K79" s="1028">
        <v>0.1109</v>
      </c>
      <c r="L79" s="1020">
        <v>0.1071</v>
      </c>
      <c r="M79" s="1034">
        <v>0</v>
      </c>
      <c r="N79" s="1029">
        <v>8.9099999999999999E-2</v>
      </c>
      <c r="O79" s="1023">
        <v>0</v>
      </c>
      <c r="P79" s="926"/>
      <c r="Q79" s="1035"/>
      <c r="R79" s="926"/>
      <c r="S79" s="1036">
        <v>0</v>
      </c>
      <c r="T79" s="1029">
        <v>8.9099999999999999E-2</v>
      </c>
      <c r="U79" s="1029">
        <v>8.5300000000000001E-2</v>
      </c>
      <c r="V79" s="926"/>
      <c r="W79" s="983"/>
      <c r="X79" s="998"/>
      <c r="Y79" s="926"/>
      <c r="Z79" s="1018">
        <v>100</v>
      </c>
      <c r="AA79" s="992">
        <v>10000</v>
      </c>
      <c r="AB79" s="993">
        <v>0.2</v>
      </c>
      <c r="AC79" s="988"/>
      <c r="AD79" s="989"/>
      <c r="AE79" s="988"/>
      <c r="AF79" s="989"/>
      <c r="AG79" s="988"/>
      <c r="AH79" s="989"/>
      <c r="AI79" s="988"/>
      <c r="AJ79" s="989"/>
      <c r="AK79" s="921"/>
      <c r="AL79" s="1019">
        <v>100</v>
      </c>
      <c r="AM79" s="1019">
        <v>100</v>
      </c>
      <c r="AN79" s="921"/>
      <c r="AO79" s="921"/>
      <c r="AP79" s="921"/>
      <c r="AQ79" s="921"/>
      <c r="AR79" s="921"/>
      <c r="AS79" s="921"/>
      <c r="AT79" s="921"/>
      <c r="AU79" s="921"/>
      <c r="AV79" s="921"/>
      <c r="AW79" s="921"/>
      <c r="AX79" s="921"/>
      <c r="AY79" s="921"/>
      <c r="AZ79" s="921"/>
      <c r="BA79" s="921"/>
      <c r="BB79" s="921"/>
      <c r="BC79" s="921"/>
      <c r="BD79" s="921"/>
      <c r="BE79" s="921"/>
    </row>
    <row r="80" spans="1:57" ht="14.25" thickTop="1" thickBot="1">
      <c r="A80" s="958">
        <v>68</v>
      </c>
      <c r="B80" s="959">
        <v>11</v>
      </c>
      <c r="C80" s="1026" t="s">
        <v>878</v>
      </c>
      <c r="D80" s="1012">
        <v>0</v>
      </c>
      <c r="E80" s="1027">
        <v>0.127</v>
      </c>
      <c r="F80" s="1020">
        <v>0.1231</v>
      </c>
      <c r="G80" s="1032">
        <v>0</v>
      </c>
      <c r="H80" s="1027">
        <v>0.1236</v>
      </c>
      <c r="I80" s="1020">
        <v>0.1197</v>
      </c>
      <c r="J80" s="1033">
        <v>0</v>
      </c>
      <c r="K80" s="1028">
        <v>0.1109</v>
      </c>
      <c r="L80" s="1020">
        <v>0.1071</v>
      </c>
      <c r="M80" s="1034">
        <v>0</v>
      </c>
      <c r="N80" s="1029">
        <v>8.9099999999999999E-2</v>
      </c>
      <c r="O80" s="1023">
        <v>0</v>
      </c>
      <c r="P80" s="926"/>
      <c r="Q80" s="1035"/>
      <c r="R80" s="926"/>
      <c r="S80" s="1036">
        <v>0</v>
      </c>
      <c r="T80" s="1029">
        <v>8.9099999999999999E-2</v>
      </c>
      <c r="U80" s="1029">
        <v>8.5300000000000001E-2</v>
      </c>
      <c r="V80" s="926"/>
      <c r="W80" s="983"/>
      <c r="X80" s="998"/>
      <c r="Y80" s="926"/>
      <c r="Z80" s="1018">
        <v>100</v>
      </c>
      <c r="AA80" s="992">
        <v>10000</v>
      </c>
      <c r="AB80" s="993">
        <v>0.2</v>
      </c>
      <c r="AC80" s="988"/>
      <c r="AD80" s="989"/>
      <c r="AE80" s="988"/>
      <c r="AF80" s="989"/>
      <c r="AG80" s="988"/>
      <c r="AH80" s="989"/>
      <c r="AI80" s="988"/>
      <c r="AJ80" s="989"/>
      <c r="AK80" s="921"/>
      <c r="AL80" s="1019">
        <v>100</v>
      </c>
      <c r="AM80" s="1019">
        <v>100</v>
      </c>
      <c r="AN80" s="921"/>
      <c r="AO80" s="921"/>
      <c r="AP80" s="921"/>
      <c r="AQ80" s="921"/>
      <c r="AR80" s="921"/>
      <c r="AS80" s="921"/>
      <c r="AT80" s="921"/>
      <c r="AU80" s="921"/>
      <c r="AV80" s="921"/>
      <c r="AW80" s="921"/>
      <c r="AX80" s="921"/>
      <c r="AY80" s="921"/>
      <c r="AZ80" s="921"/>
      <c r="BA80" s="921"/>
      <c r="BB80" s="921"/>
      <c r="BC80" s="921"/>
      <c r="BD80" s="921"/>
      <c r="BE80" s="921"/>
    </row>
    <row r="81" spans="1:58" ht="14.25" thickTop="1" thickBot="1">
      <c r="A81" s="958">
        <v>69</v>
      </c>
      <c r="B81" s="959">
        <v>12</v>
      </c>
      <c r="C81" s="1026" t="s">
        <v>879</v>
      </c>
      <c r="D81" s="1012">
        <v>0</v>
      </c>
      <c r="E81" s="1027">
        <v>0.127</v>
      </c>
      <c r="F81" s="1020">
        <v>0.1231</v>
      </c>
      <c r="G81" s="1032">
        <v>0</v>
      </c>
      <c r="H81" s="1027">
        <v>0.1236</v>
      </c>
      <c r="I81" s="1020">
        <v>0.1197</v>
      </c>
      <c r="J81" s="1033">
        <v>0</v>
      </c>
      <c r="K81" s="1028">
        <v>0.1109</v>
      </c>
      <c r="L81" s="1020">
        <v>0.1071</v>
      </c>
      <c r="M81" s="1034">
        <v>0</v>
      </c>
      <c r="N81" s="1029">
        <v>8.9099999999999999E-2</v>
      </c>
      <c r="O81" s="1023">
        <v>0</v>
      </c>
      <c r="P81" s="926"/>
      <c r="Q81" s="1035"/>
      <c r="R81" s="926"/>
      <c r="S81" s="1036">
        <v>0</v>
      </c>
      <c r="T81" s="1029">
        <v>8.9099999999999999E-2</v>
      </c>
      <c r="U81" s="1029">
        <v>8.5300000000000001E-2</v>
      </c>
      <c r="V81" s="926"/>
      <c r="W81" s="983"/>
      <c r="X81" s="998"/>
      <c r="Y81" s="926"/>
      <c r="Z81" s="1018">
        <v>100</v>
      </c>
      <c r="AA81" s="992">
        <v>10000</v>
      </c>
      <c r="AB81" s="993">
        <v>0.2</v>
      </c>
      <c r="AC81" s="988"/>
      <c r="AD81" s="989"/>
      <c r="AE81" s="988"/>
      <c r="AF81" s="989"/>
      <c r="AG81" s="988"/>
      <c r="AH81" s="989"/>
      <c r="AI81" s="988"/>
      <c r="AJ81" s="989"/>
      <c r="AK81" s="921"/>
      <c r="AL81" s="1019">
        <v>100</v>
      </c>
      <c r="AM81" s="1019">
        <v>100</v>
      </c>
      <c r="AN81" s="921"/>
      <c r="AO81" s="921"/>
      <c r="AP81" s="921"/>
      <c r="AQ81" s="921"/>
      <c r="AR81" s="921"/>
      <c r="AS81" s="921"/>
      <c r="AT81" s="921"/>
      <c r="AU81" s="921"/>
      <c r="AV81" s="921"/>
      <c r="AW81" s="921"/>
      <c r="AX81" s="921"/>
      <c r="AY81" s="921"/>
      <c r="AZ81" s="921"/>
      <c r="BA81" s="921"/>
      <c r="BB81" s="921"/>
      <c r="BC81" s="921"/>
      <c r="BD81" s="921"/>
      <c r="BE81" s="921"/>
    </row>
    <row r="82" spans="1:58" ht="14.25" thickTop="1" thickBot="1">
      <c r="A82" s="958">
        <v>70</v>
      </c>
      <c r="B82" s="959">
        <v>1</v>
      </c>
      <c r="C82" s="1026" t="s">
        <v>923</v>
      </c>
      <c r="D82" s="1012">
        <v>0</v>
      </c>
      <c r="E82" s="1027">
        <v>0.127</v>
      </c>
      <c r="F82" s="1020">
        <v>0.123</v>
      </c>
      <c r="G82" s="1032">
        <f t="shared" si="17"/>
        <v>0</v>
      </c>
      <c r="H82" s="1027">
        <v>0.1236</v>
      </c>
      <c r="I82" s="1020">
        <v>0.1196</v>
      </c>
      <c r="J82" s="1033">
        <v>0</v>
      </c>
      <c r="K82" s="1028">
        <v>0.1109</v>
      </c>
      <c r="L82" s="1020">
        <v>0.1069</v>
      </c>
      <c r="M82" s="1034">
        <v>0</v>
      </c>
      <c r="N82" s="1029">
        <f>IF(ISNUMBER($D82),ROUND(N81*(1-$D82),4),0)</f>
        <v>8.9099999999999999E-2</v>
      </c>
      <c r="O82" s="1023">
        <v>0</v>
      </c>
      <c r="P82" s="926"/>
      <c r="Q82" s="1035"/>
      <c r="R82" s="926"/>
      <c r="S82" s="1036">
        <v>0</v>
      </c>
      <c r="T82" s="1029">
        <f>IF(ISNUMBER($D82),ROUND(T81*(1-$D82),4),0)</f>
        <v>8.9099999999999999E-2</v>
      </c>
      <c r="U82" s="1029">
        <v>8.5099999999999995E-2</v>
      </c>
      <c r="V82" s="926"/>
      <c r="W82" s="983"/>
      <c r="X82" s="998"/>
      <c r="Y82" s="926"/>
      <c r="Z82" s="1018">
        <v>100</v>
      </c>
      <c r="AA82" s="992">
        <v>750</v>
      </c>
      <c r="AB82" s="993">
        <v>0.2</v>
      </c>
      <c r="AC82" s="988"/>
      <c r="AD82" s="989"/>
      <c r="AE82" s="988"/>
      <c r="AF82" s="989"/>
      <c r="AG82" s="988"/>
      <c r="AH82" s="989"/>
      <c r="AI82" s="988"/>
      <c r="AJ82" s="989"/>
      <c r="AK82" s="921"/>
      <c r="AL82" s="1019">
        <v>100</v>
      </c>
      <c r="AM82" s="1019">
        <v>100</v>
      </c>
      <c r="AN82" s="921"/>
      <c r="AO82" s="921"/>
      <c r="AP82" s="921"/>
      <c r="AQ82" s="921"/>
      <c r="AR82" s="921"/>
      <c r="AS82" s="921"/>
      <c r="AT82" s="921"/>
      <c r="AU82" s="921"/>
      <c r="AV82" s="921"/>
      <c r="AW82" s="921"/>
      <c r="AX82" s="921"/>
      <c r="AY82" s="921"/>
      <c r="AZ82" s="921"/>
      <c r="BA82" s="921"/>
      <c r="BB82" s="921"/>
      <c r="BC82" s="921"/>
      <c r="BD82" s="921"/>
      <c r="BE82" s="921"/>
    </row>
    <row r="83" spans="1:58" ht="14.25" thickTop="1" thickBot="1">
      <c r="A83" s="958">
        <v>71</v>
      </c>
      <c r="B83" s="959">
        <v>2</v>
      </c>
      <c r="C83" s="1026" t="s">
        <v>970</v>
      </c>
      <c r="D83" s="1012">
        <v>0</v>
      </c>
      <c r="E83" s="1027">
        <v>0.127</v>
      </c>
      <c r="F83" s="1020">
        <v>0.123</v>
      </c>
      <c r="G83" s="1032">
        <f t="shared" si="17"/>
        <v>0</v>
      </c>
      <c r="H83" s="1027">
        <v>0.1236</v>
      </c>
      <c r="I83" s="1020">
        <v>0.1196</v>
      </c>
      <c r="J83" s="1033">
        <v>0</v>
      </c>
      <c r="K83" s="1028">
        <v>0.1109</v>
      </c>
      <c r="L83" s="1020">
        <v>0.1069</v>
      </c>
      <c r="M83" s="1034">
        <v>0</v>
      </c>
      <c r="N83" s="1029">
        <f>IF(ISNUMBER($D83),ROUND(N82*(1-$D83),4),0)</f>
        <v>8.9099999999999999E-2</v>
      </c>
      <c r="O83" s="1023">
        <v>0</v>
      </c>
      <c r="P83" s="926"/>
      <c r="Q83" s="1035"/>
      <c r="R83" s="926"/>
      <c r="S83" s="1036">
        <v>0</v>
      </c>
      <c r="T83" s="1029">
        <f>IF(ISNUMBER($D83),ROUND(T82*(1-$D83),4),0)</f>
        <v>8.9099999999999999E-2</v>
      </c>
      <c r="U83" s="1029">
        <f>IF(T83&gt;0,T83-0.004,0)</f>
        <v>8.5099999999999995E-2</v>
      </c>
      <c r="V83" s="926"/>
      <c r="W83" s="983"/>
      <c r="X83" s="998"/>
      <c r="Y83" s="926"/>
      <c r="Z83" s="1018">
        <v>100</v>
      </c>
      <c r="AA83" s="992">
        <v>750</v>
      </c>
      <c r="AB83" s="993">
        <v>0.2</v>
      </c>
      <c r="AC83" s="988"/>
      <c r="AD83" s="989"/>
      <c r="AE83" s="988"/>
      <c r="AF83" s="989"/>
      <c r="AG83" s="988"/>
      <c r="AH83" s="989"/>
      <c r="AI83" s="988"/>
      <c r="AJ83" s="989"/>
      <c r="AK83" s="921"/>
      <c r="AL83" s="1019">
        <v>100</v>
      </c>
      <c r="AM83" s="1019">
        <v>100</v>
      </c>
      <c r="AN83" s="921"/>
      <c r="AO83" s="921"/>
      <c r="AP83" s="921"/>
      <c r="AQ83" s="921"/>
      <c r="AR83" s="921"/>
      <c r="AS83" s="921"/>
      <c r="AT83" s="921"/>
      <c r="AU83" s="921"/>
      <c r="AV83" s="921"/>
      <c r="AW83" s="921"/>
      <c r="AX83" s="921"/>
      <c r="AY83" s="921"/>
      <c r="AZ83" s="921"/>
      <c r="BA83" s="921"/>
      <c r="BB83" s="921"/>
      <c r="BC83" s="921"/>
      <c r="BD83" s="921"/>
      <c r="BE83" s="921"/>
    </row>
    <row r="84" spans="1:58" ht="14.25" thickTop="1" thickBot="1">
      <c r="A84" s="958">
        <v>72</v>
      </c>
      <c r="B84" s="959">
        <v>3</v>
      </c>
      <c r="C84" s="1026" t="s">
        <v>971</v>
      </c>
      <c r="D84" s="1012">
        <v>0</v>
      </c>
      <c r="E84" s="1027">
        <v>0.127</v>
      </c>
      <c r="F84" s="1020">
        <v>0.123</v>
      </c>
      <c r="G84" s="1032">
        <f t="shared" si="17"/>
        <v>0</v>
      </c>
      <c r="H84" s="1027">
        <v>0.1236</v>
      </c>
      <c r="I84" s="1020">
        <v>0.1196</v>
      </c>
      <c r="J84" s="1033">
        <v>0</v>
      </c>
      <c r="K84" s="1028">
        <v>0.1109</v>
      </c>
      <c r="L84" s="1020">
        <v>0.1069</v>
      </c>
      <c r="M84" s="1034">
        <v>0</v>
      </c>
      <c r="N84" s="1029">
        <f>IF(ISNUMBER($D84),ROUND(N83*(1-$D84),4),0)</f>
        <v>8.9099999999999999E-2</v>
      </c>
      <c r="O84" s="1023">
        <v>0</v>
      </c>
      <c r="P84" s="926"/>
      <c r="Q84" s="1035"/>
      <c r="R84" s="926"/>
      <c r="S84" s="1036">
        <v>0</v>
      </c>
      <c r="T84" s="1029">
        <f>IF(ISNUMBER($D84),ROUND(T83*(1-$D84),4),0)</f>
        <v>8.9099999999999999E-2</v>
      </c>
      <c r="U84" s="1029">
        <f>IF(T84&gt;0,T84-0.004,0)</f>
        <v>8.5099999999999995E-2</v>
      </c>
      <c r="V84" s="926"/>
      <c r="W84" s="983"/>
      <c r="X84" s="998"/>
      <c r="Y84" s="926"/>
      <c r="Z84" s="1018">
        <v>100</v>
      </c>
      <c r="AA84" s="992">
        <v>750</v>
      </c>
      <c r="AB84" s="993">
        <v>0.2</v>
      </c>
      <c r="AC84" s="988"/>
      <c r="AD84" s="989"/>
      <c r="AE84" s="988"/>
      <c r="AF84" s="989"/>
      <c r="AG84" s="988"/>
      <c r="AH84" s="989"/>
      <c r="AI84" s="988"/>
      <c r="AJ84" s="989"/>
      <c r="AK84" s="921"/>
      <c r="AL84" s="1019">
        <v>100</v>
      </c>
      <c r="AM84" s="1019">
        <v>100</v>
      </c>
      <c r="AN84" s="921"/>
      <c r="AO84" s="921"/>
      <c r="AP84" s="921"/>
      <c r="AQ84" s="921"/>
      <c r="AR84" s="921"/>
      <c r="AS84" s="921"/>
      <c r="AT84" s="921"/>
      <c r="AU84" s="921"/>
      <c r="AV84" s="921"/>
      <c r="AW84" s="921"/>
      <c r="AX84" s="921"/>
      <c r="AY84" s="921"/>
      <c r="AZ84" s="921"/>
      <c r="BA84" s="921"/>
      <c r="BB84" s="921"/>
      <c r="BC84" s="921"/>
      <c r="BD84" s="921"/>
      <c r="BE84" s="921"/>
    </row>
    <row r="85" spans="1:58" ht="14.25" thickTop="1" thickBot="1">
      <c r="A85" s="958">
        <v>73</v>
      </c>
      <c r="B85" s="959">
        <v>4</v>
      </c>
      <c r="C85" s="1026" t="s">
        <v>972</v>
      </c>
      <c r="D85" s="1012">
        <v>0</v>
      </c>
      <c r="E85" s="1027">
        <v>0.127</v>
      </c>
      <c r="F85" s="1020">
        <v>0.123</v>
      </c>
      <c r="G85" s="1032">
        <f t="shared" si="17"/>
        <v>0</v>
      </c>
      <c r="H85" s="1027">
        <v>0.1236</v>
      </c>
      <c r="I85" s="1020">
        <v>0.1196</v>
      </c>
      <c r="J85" s="1033">
        <v>0</v>
      </c>
      <c r="K85" s="1028">
        <v>0.1109</v>
      </c>
      <c r="L85" s="1020">
        <v>0.1069</v>
      </c>
      <c r="M85" s="1034">
        <v>0</v>
      </c>
      <c r="N85" s="1029">
        <f>IF(ISNUMBER($D85),ROUND(N84*(1-$D85),4),0)</f>
        <v>8.9099999999999999E-2</v>
      </c>
      <c r="O85" s="1023">
        <v>0</v>
      </c>
      <c r="P85" s="926"/>
      <c r="Q85" s="1035"/>
      <c r="R85" s="926"/>
      <c r="S85" s="1036">
        <v>0</v>
      </c>
      <c r="T85" s="1029">
        <f>IF(ISNUMBER($D85),ROUND(T84*(1-$D85),4),0)</f>
        <v>8.9099999999999999E-2</v>
      </c>
      <c r="U85" s="1029">
        <f>IF(T85&gt;0,T85-0.004,0)</f>
        <v>8.5099999999999995E-2</v>
      </c>
      <c r="V85" s="926"/>
      <c r="W85" s="983"/>
      <c r="X85" s="998"/>
      <c r="Y85" s="926"/>
      <c r="Z85" s="1018">
        <v>100</v>
      </c>
      <c r="AA85" s="992">
        <v>750</v>
      </c>
      <c r="AB85" s="993">
        <v>0.2</v>
      </c>
      <c r="AC85" s="988"/>
      <c r="AD85" s="989"/>
      <c r="AE85" s="988"/>
      <c r="AF85" s="989"/>
      <c r="AG85" s="988"/>
      <c r="AH85" s="989"/>
      <c r="AI85" s="988"/>
      <c r="AJ85" s="989"/>
      <c r="AK85" s="921"/>
      <c r="AL85" s="1019">
        <v>100</v>
      </c>
      <c r="AM85" s="1019">
        <v>100</v>
      </c>
      <c r="AN85" s="921"/>
      <c r="AO85" s="921"/>
      <c r="AP85" s="921"/>
      <c r="AQ85" s="921"/>
      <c r="AR85" s="921"/>
      <c r="AS85" s="921"/>
      <c r="AT85" s="921"/>
      <c r="AU85" s="921"/>
      <c r="AV85" s="921"/>
      <c r="AW85" s="921"/>
      <c r="AX85" s="921"/>
      <c r="AY85" s="921"/>
      <c r="AZ85" s="921"/>
      <c r="BA85" s="921"/>
      <c r="BB85" s="921"/>
      <c r="BC85" s="921"/>
      <c r="BD85" s="921"/>
      <c r="BE85" s="921"/>
    </row>
    <row r="86" spans="1:58" ht="14.25" thickTop="1" thickBot="1">
      <c r="A86" s="958">
        <v>74</v>
      </c>
      <c r="B86" s="959">
        <v>5</v>
      </c>
      <c r="C86" s="1026" t="s">
        <v>980</v>
      </c>
      <c r="D86" s="1012">
        <v>2.5000000000000001E-3</v>
      </c>
      <c r="E86" s="1027">
        <v>0.12670000000000001</v>
      </c>
      <c r="F86" s="1020">
        <v>0.1227</v>
      </c>
      <c r="G86" s="1032">
        <f t="shared" si="17"/>
        <v>2.5000000000000001E-3</v>
      </c>
      <c r="H86" s="1027">
        <v>0.12330000000000001</v>
      </c>
      <c r="I86" s="1020">
        <v>0.1193</v>
      </c>
      <c r="J86" s="1033">
        <v>2.5000000000000001E-3</v>
      </c>
      <c r="K86" s="1028">
        <v>0.1106</v>
      </c>
      <c r="L86" s="1020">
        <v>0.1066</v>
      </c>
      <c r="M86" s="1034">
        <v>2.5000000000000001E-3</v>
      </c>
      <c r="N86" s="1029">
        <v>8.8900000000000007E-2</v>
      </c>
      <c r="O86" s="1023">
        <v>0</v>
      </c>
      <c r="P86" s="926"/>
      <c r="Q86" s="1035"/>
      <c r="R86" s="926"/>
      <c r="S86" s="1036">
        <v>2.5000000000000001E-3</v>
      </c>
      <c r="T86" s="1029">
        <v>8.8900000000000007E-2</v>
      </c>
      <c r="U86" s="1029">
        <v>8.4900000000000003E-2</v>
      </c>
      <c r="V86" s="926"/>
      <c r="W86" s="983"/>
      <c r="X86" s="998"/>
      <c r="Y86" s="926"/>
      <c r="Z86" s="1018">
        <v>100</v>
      </c>
      <c r="AA86" s="992">
        <v>750</v>
      </c>
      <c r="AB86" s="993">
        <v>0.2</v>
      </c>
      <c r="AC86" s="988"/>
      <c r="AD86" s="989"/>
      <c r="AE86" s="988"/>
      <c r="AF86" s="989"/>
      <c r="AG86" s="988"/>
      <c r="AH86" s="989"/>
      <c r="AI86" s="988"/>
      <c r="AJ86" s="989"/>
      <c r="AK86" s="921"/>
      <c r="AL86" s="1019">
        <v>100</v>
      </c>
      <c r="AM86" s="1019">
        <v>100</v>
      </c>
      <c r="AN86" s="921"/>
      <c r="AO86" s="921"/>
      <c r="AP86" s="921"/>
      <c r="AQ86" s="921"/>
      <c r="AR86" s="921"/>
      <c r="AS86" s="921"/>
      <c r="AT86" s="921"/>
      <c r="AU86" s="921"/>
      <c r="AV86" s="921"/>
      <c r="AW86" s="921"/>
      <c r="AX86" s="921"/>
      <c r="AY86" s="921"/>
      <c r="AZ86" s="921"/>
      <c r="BA86" s="921"/>
      <c r="BB86" s="921"/>
      <c r="BC86" s="921"/>
      <c r="BD86" s="921"/>
      <c r="BE86" s="921"/>
    </row>
    <row r="87" spans="1:58" ht="14.25" thickTop="1" thickBot="1">
      <c r="A87" s="958">
        <v>75</v>
      </c>
      <c r="B87" s="959">
        <v>6</v>
      </c>
      <c r="C87" s="1026" t="s">
        <v>981</v>
      </c>
      <c r="D87" s="1012">
        <v>2.5000000000000001E-3</v>
      </c>
      <c r="E87" s="1027">
        <v>0.12640000000000001</v>
      </c>
      <c r="F87" s="1020">
        <v>0.12239999999999999</v>
      </c>
      <c r="G87" s="1032">
        <f t="shared" si="17"/>
        <v>2.5000000000000001E-3</v>
      </c>
      <c r="H87" s="1027">
        <v>0.123</v>
      </c>
      <c r="I87" s="1020">
        <v>0.11899999999999999</v>
      </c>
      <c r="J87" s="1033">
        <v>2.5000000000000001E-3</v>
      </c>
      <c r="K87" s="1028">
        <v>0.1103</v>
      </c>
      <c r="L87" s="1020">
        <v>0.10630000000000001</v>
      </c>
      <c r="M87" s="1034">
        <v>2.5000000000000001E-3</v>
      </c>
      <c r="N87" s="1029">
        <v>8.8700000000000001E-2</v>
      </c>
      <c r="O87" s="1023">
        <v>0</v>
      </c>
      <c r="P87" s="926"/>
      <c r="Q87" s="1035"/>
      <c r="R87" s="926"/>
      <c r="S87" s="1036">
        <v>2.5000000000000001E-3</v>
      </c>
      <c r="T87" s="1029">
        <v>8.8700000000000001E-2</v>
      </c>
      <c r="U87" s="1029">
        <v>8.4699999999999998E-2</v>
      </c>
      <c r="V87" s="926"/>
      <c r="W87" s="983"/>
      <c r="X87" s="998"/>
      <c r="Y87" s="926"/>
      <c r="Z87" s="1018">
        <v>100</v>
      </c>
      <c r="AA87" s="992">
        <v>750</v>
      </c>
      <c r="AB87" s="993">
        <v>0.2</v>
      </c>
      <c r="AC87" s="988"/>
      <c r="AD87" s="989"/>
      <c r="AE87" s="988"/>
      <c r="AF87" s="989"/>
      <c r="AG87" s="988"/>
      <c r="AH87" s="989"/>
      <c r="AI87" s="988"/>
      <c r="AJ87" s="989"/>
      <c r="AK87" s="921"/>
      <c r="AL87" s="1019">
        <v>100</v>
      </c>
      <c r="AM87" s="1019">
        <v>100</v>
      </c>
      <c r="AN87" s="921"/>
      <c r="AO87" s="921"/>
      <c r="AP87" s="921"/>
      <c r="AQ87" s="921"/>
      <c r="AR87" s="921"/>
      <c r="AS87" s="921"/>
      <c r="AT87" s="921"/>
      <c r="AU87" s="921"/>
      <c r="AV87" s="921"/>
      <c r="AW87" s="921"/>
      <c r="AX87" s="921"/>
      <c r="AY87" s="921"/>
      <c r="AZ87" s="921"/>
      <c r="BA87" s="921"/>
      <c r="BB87" s="921"/>
      <c r="BC87" s="921"/>
      <c r="BD87" s="921"/>
      <c r="BE87" s="921"/>
    </row>
    <row r="88" spans="1:58" ht="14.25" thickTop="1" thickBot="1">
      <c r="A88" s="958">
        <v>76</v>
      </c>
      <c r="B88" s="959">
        <v>7</v>
      </c>
      <c r="C88" s="1026" t="s">
        <v>982</v>
      </c>
      <c r="D88" s="1012">
        <v>2.5000000000000001E-3</v>
      </c>
      <c r="E88" s="1027">
        <v>0.126</v>
      </c>
      <c r="F88" s="1020">
        <v>0.122</v>
      </c>
      <c r="G88" s="1032">
        <f t="shared" si="17"/>
        <v>2.5000000000000001E-3</v>
      </c>
      <c r="H88" s="1027">
        <v>0.1227</v>
      </c>
      <c r="I88" s="1020">
        <v>0.1187</v>
      </c>
      <c r="J88" s="1033">
        <v>2.5000000000000001E-3</v>
      </c>
      <c r="K88" s="1028">
        <v>0.1101</v>
      </c>
      <c r="L88" s="1020">
        <v>0.1061</v>
      </c>
      <c r="M88" s="1034">
        <v>2.5000000000000001E-3</v>
      </c>
      <c r="N88" s="1029">
        <v>8.8400000000000006E-2</v>
      </c>
      <c r="O88" s="1023">
        <v>0</v>
      </c>
      <c r="P88" s="926"/>
      <c r="Q88" s="1035"/>
      <c r="R88" s="926"/>
      <c r="S88" s="1036">
        <v>2.5000000000000001E-3</v>
      </c>
      <c r="T88" s="1029">
        <v>8.8400000000000006E-2</v>
      </c>
      <c r="U88" s="1029">
        <v>8.4400000000000003E-2</v>
      </c>
      <c r="V88" s="926"/>
      <c r="W88" s="983"/>
      <c r="X88" s="998"/>
      <c r="Y88" s="926"/>
      <c r="Z88" s="1018">
        <v>100</v>
      </c>
      <c r="AA88" s="992">
        <v>750</v>
      </c>
      <c r="AB88" s="993">
        <v>0.2</v>
      </c>
      <c r="AC88" s="988"/>
      <c r="AD88" s="989"/>
      <c r="AE88" s="988"/>
      <c r="AF88" s="989"/>
      <c r="AG88" s="988"/>
      <c r="AH88" s="989"/>
      <c r="AI88" s="988"/>
      <c r="AJ88" s="989"/>
      <c r="AK88" s="921"/>
      <c r="AL88" s="1019">
        <v>100</v>
      </c>
      <c r="AM88" s="1019">
        <v>100</v>
      </c>
      <c r="AN88" s="921"/>
      <c r="AO88" s="921"/>
      <c r="AP88" s="921"/>
      <c r="AQ88" s="921"/>
      <c r="AR88" s="921"/>
      <c r="AS88" s="921"/>
      <c r="AT88" s="921"/>
      <c r="AU88" s="921"/>
      <c r="AV88" s="921"/>
      <c r="AW88" s="921"/>
      <c r="AX88" s="921"/>
      <c r="AY88" s="921"/>
      <c r="AZ88" s="921"/>
      <c r="BA88" s="921"/>
      <c r="BB88" s="921"/>
      <c r="BC88" s="921"/>
      <c r="BD88" s="921"/>
      <c r="BE88" s="921"/>
    </row>
    <row r="89" spans="1:58" ht="14.25" thickTop="1" thickBot="1">
      <c r="A89" s="958">
        <v>77</v>
      </c>
      <c r="B89" s="959">
        <v>8</v>
      </c>
      <c r="C89" s="1026" t="s">
        <v>984</v>
      </c>
      <c r="D89" s="1012">
        <v>0</v>
      </c>
      <c r="E89" s="1027">
        <v>0.126</v>
      </c>
      <c r="F89" s="1020">
        <v>0.122</v>
      </c>
      <c r="G89" s="1032">
        <f t="shared" si="17"/>
        <v>0</v>
      </c>
      <c r="H89" s="1027">
        <v>0.1227</v>
      </c>
      <c r="I89" s="1020">
        <v>0.1187</v>
      </c>
      <c r="J89" s="1033">
        <v>0</v>
      </c>
      <c r="K89" s="1028">
        <v>0.1101</v>
      </c>
      <c r="L89" s="1020">
        <v>0.1061</v>
      </c>
      <c r="M89" s="1034">
        <v>0</v>
      </c>
      <c r="N89" s="1029">
        <v>8.8400000000000006E-2</v>
      </c>
      <c r="O89" s="1023">
        <v>0</v>
      </c>
      <c r="P89" s="926"/>
      <c r="Q89" s="1035"/>
      <c r="R89" s="926"/>
      <c r="S89" s="1036">
        <v>0</v>
      </c>
      <c r="T89" s="1029">
        <v>8.8400000000000006E-2</v>
      </c>
      <c r="U89" s="1029">
        <v>8.4400000000000003E-2</v>
      </c>
      <c r="V89" s="926"/>
      <c r="W89" s="983"/>
      <c r="X89" s="998"/>
      <c r="Y89" s="926"/>
      <c r="Z89" s="1018">
        <v>100</v>
      </c>
      <c r="AA89" s="992">
        <v>750</v>
      </c>
      <c r="AB89" s="993">
        <v>0.2</v>
      </c>
      <c r="AC89" s="988"/>
      <c r="AD89" s="989"/>
      <c r="AE89" s="988"/>
      <c r="AF89" s="989"/>
      <c r="AG89" s="988"/>
      <c r="AH89" s="989"/>
      <c r="AI89" s="988"/>
      <c r="AJ89" s="989"/>
      <c r="AK89" s="921"/>
      <c r="AL89" s="1019">
        <v>100</v>
      </c>
      <c r="AM89" s="1019">
        <v>100</v>
      </c>
      <c r="AN89" s="921"/>
      <c r="AO89" s="921"/>
      <c r="AP89" s="921"/>
      <c r="AQ89" s="921"/>
      <c r="AR89" s="921"/>
      <c r="AS89" s="921"/>
      <c r="AT89" s="921"/>
      <c r="AU89" s="921"/>
      <c r="AV89" s="921"/>
      <c r="AW89" s="921"/>
      <c r="AX89" s="921"/>
      <c r="AY89" s="921"/>
      <c r="AZ89" s="921"/>
      <c r="BA89" s="921"/>
      <c r="BB89" s="921"/>
      <c r="BC89" s="921"/>
      <c r="BD89" s="921"/>
      <c r="BE89" s="921"/>
    </row>
    <row r="90" spans="1:58" ht="14.25" thickTop="1" thickBot="1">
      <c r="A90" s="958">
        <v>78</v>
      </c>
      <c r="B90" s="959">
        <v>9</v>
      </c>
      <c r="C90" s="1026" t="s">
        <v>985</v>
      </c>
      <c r="D90" s="1012">
        <v>0</v>
      </c>
      <c r="E90" s="1027">
        <v>0.126</v>
      </c>
      <c r="F90" s="1020">
        <v>0.122</v>
      </c>
      <c r="G90" s="1032">
        <f t="shared" si="17"/>
        <v>0</v>
      </c>
      <c r="H90" s="1027">
        <v>0.1227</v>
      </c>
      <c r="I90" s="1020">
        <v>0.1187</v>
      </c>
      <c r="J90" s="1033">
        <v>0</v>
      </c>
      <c r="K90" s="1028">
        <v>0.1101</v>
      </c>
      <c r="L90" s="1020">
        <v>0.1061</v>
      </c>
      <c r="M90" s="1034">
        <v>0</v>
      </c>
      <c r="N90" s="1029">
        <v>8.8400000000000006E-2</v>
      </c>
      <c r="O90" s="1023">
        <v>0</v>
      </c>
      <c r="P90" s="926"/>
      <c r="Q90" s="1035"/>
      <c r="R90" s="926"/>
      <c r="S90" s="1036">
        <v>0</v>
      </c>
      <c r="T90" s="1029">
        <v>8.8400000000000006E-2</v>
      </c>
      <c r="U90" s="1029">
        <v>8.4400000000000003E-2</v>
      </c>
      <c r="V90" s="926"/>
      <c r="W90" s="983"/>
      <c r="X90" s="998"/>
      <c r="Y90" s="926"/>
      <c r="Z90" s="1018">
        <v>100</v>
      </c>
      <c r="AA90" s="992">
        <v>750</v>
      </c>
      <c r="AB90" s="993">
        <v>0.2</v>
      </c>
      <c r="AC90" s="988"/>
      <c r="AD90" s="989"/>
      <c r="AE90" s="988"/>
      <c r="AF90" s="989"/>
      <c r="AG90" s="988"/>
      <c r="AH90" s="989"/>
      <c r="AI90" s="988"/>
      <c r="AJ90" s="989"/>
      <c r="AK90" s="921"/>
      <c r="AL90" s="1019">
        <v>100</v>
      </c>
      <c r="AM90" s="1019">
        <v>100</v>
      </c>
      <c r="AN90" s="921"/>
      <c r="AO90" s="921"/>
      <c r="AP90" s="921"/>
      <c r="AQ90" s="921"/>
      <c r="AR90" s="921"/>
      <c r="AS90" s="921"/>
      <c r="AT90" s="921"/>
      <c r="AU90" s="921"/>
      <c r="AV90" s="921"/>
      <c r="AW90" s="921"/>
      <c r="AX90" s="921"/>
      <c r="AY90" s="921"/>
      <c r="AZ90" s="921"/>
      <c r="BA90" s="921"/>
      <c r="BB90" s="921"/>
      <c r="BC90" s="921"/>
      <c r="BD90" s="921"/>
      <c r="BE90" s="921"/>
    </row>
    <row r="91" spans="1:58" ht="14.25" thickTop="1" thickBot="1">
      <c r="A91" s="958">
        <v>79</v>
      </c>
      <c r="B91" s="959">
        <v>10</v>
      </c>
      <c r="C91" s="1026" t="s">
        <v>986</v>
      </c>
      <c r="D91" s="1012">
        <v>0</v>
      </c>
      <c r="E91" s="1027">
        <v>0.126</v>
      </c>
      <c r="F91" s="1020">
        <v>0.122</v>
      </c>
      <c r="G91" s="1032">
        <f t="shared" si="17"/>
        <v>0</v>
      </c>
      <c r="H91" s="1027">
        <v>0.1227</v>
      </c>
      <c r="I91" s="1020">
        <v>0.1187</v>
      </c>
      <c r="J91" s="1033">
        <v>0</v>
      </c>
      <c r="K91" s="1028">
        <v>0.1101</v>
      </c>
      <c r="L91" s="1020">
        <v>0.1061</v>
      </c>
      <c r="M91" s="1034">
        <v>0</v>
      </c>
      <c r="N91" s="1029">
        <v>8.8400000000000006E-2</v>
      </c>
      <c r="O91" s="1023">
        <v>0</v>
      </c>
      <c r="P91" s="926"/>
      <c r="Q91" s="1035"/>
      <c r="R91" s="926"/>
      <c r="S91" s="1036">
        <v>0</v>
      </c>
      <c r="T91" s="1029">
        <v>8.8400000000000006E-2</v>
      </c>
      <c r="U91" s="1029">
        <v>8.4400000000000003E-2</v>
      </c>
      <c r="V91" s="926"/>
      <c r="W91" s="983"/>
      <c r="X91" s="998"/>
      <c r="Y91" s="926"/>
      <c r="Z91" s="1018">
        <v>100</v>
      </c>
      <c r="AA91" s="992">
        <v>750</v>
      </c>
      <c r="AB91" s="993">
        <v>0.2</v>
      </c>
      <c r="AC91" s="988"/>
      <c r="AD91" s="989"/>
      <c r="AE91" s="988"/>
      <c r="AF91" s="989"/>
      <c r="AG91" s="988"/>
      <c r="AH91" s="989"/>
      <c r="AI91" s="988"/>
      <c r="AJ91" s="989"/>
      <c r="AK91" s="921"/>
      <c r="AL91" s="1019">
        <v>100</v>
      </c>
      <c r="AM91" s="1019">
        <v>100</v>
      </c>
      <c r="AN91" s="921"/>
      <c r="AO91" s="921"/>
      <c r="AP91" s="921"/>
      <c r="AQ91" s="921"/>
      <c r="AR91" s="921"/>
      <c r="AS91" s="921"/>
      <c r="AT91" s="921"/>
      <c r="AU91" s="921"/>
      <c r="AV91" s="921"/>
      <c r="AW91" s="921"/>
      <c r="AX91" s="921"/>
      <c r="AY91" s="921"/>
      <c r="AZ91" s="921"/>
      <c r="BA91" s="921"/>
      <c r="BB91" s="921"/>
      <c r="BC91" s="921"/>
      <c r="BD91" s="921"/>
      <c r="BE91" s="921"/>
    </row>
    <row r="92" spans="1:58" ht="14.25" thickTop="1" thickBot="1">
      <c r="A92" s="958">
        <v>80</v>
      </c>
      <c r="B92" s="959">
        <v>11</v>
      </c>
      <c r="C92" s="1026" t="s">
        <v>990</v>
      </c>
      <c r="D92" s="918">
        <v>0</v>
      </c>
      <c r="E92" s="1037">
        <v>0.126</v>
      </c>
      <c r="F92" s="1020">
        <v>0.122</v>
      </c>
      <c r="G92" s="1032">
        <v>0</v>
      </c>
      <c r="H92" s="1027">
        <v>0.1227</v>
      </c>
      <c r="I92" s="1020">
        <v>0.1187</v>
      </c>
      <c r="J92" s="1033">
        <v>0</v>
      </c>
      <c r="K92" s="1028">
        <v>0.1101</v>
      </c>
      <c r="L92" s="1020">
        <v>0.1061</v>
      </c>
      <c r="M92" s="1034">
        <v>0</v>
      </c>
      <c r="N92" s="1028">
        <v>8.8400000000000006E-2</v>
      </c>
      <c r="O92" s="1023">
        <v>0</v>
      </c>
      <c r="P92" s="926"/>
      <c r="Q92" s="1035"/>
      <c r="R92" s="926"/>
      <c r="S92" s="1036">
        <v>0</v>
      </c>
      <c r="T92" s="1029">
        <v>8.8400000000000006E-2</v>
      </c>
      <c r="U92" s="1029">
        <v>8.4400000000000003E-2</v>
      </c>
      <c r="V92" s="926"/>
      <c r="W92" s="983"/>
      <c r="X92" s="998"/>
      <c r="Y92" s="926"/>
      <c r="Z92" s="1018">
        <v>100</v>
      </c>
      <c r="AA92" s="992">
        <v>750</v>
      </c>
      <c r="AB92" s="993">
        <v>0.2</v>
      </c>
      <c r="AC92" s="988"/>
      <c r="AD92" s="989"/>
      <c r="AE92" s="988"/>
      <c r="AF92" s="989"/>
      <c r="AG92" s="988"/>
      <c r="AH92" s="989"/>
      <c r="AI92" s="988"/>
      <c r="AJ92" s="989"/>
      <c r="AK92" s="921"/>
      <c r="AL92" s="1019">
        <v>100</v>
      </c>
      <c r="AM92" s="1019">
        <v>100</v>
      </c>
      <c r="AN92" s="921"/>
      <c r="AO92" s="992">
        <v>750</v>
      </c>
      <c r="AP92" s="992">
        <v>4</v>
      </c>
      <c r="AQ92" s="1019"/>
      <c r="AR92" s="921"/>
      <c r="AS92" s="921"/>
      <c r="AT92" s="921"/>
      <c r="AU92" s="921"/>
      <c r="AV92" s="921"/>
      <c r="AW92" s="921"/>
      <c r="AX92" s="921"/>
      <c r="AY92" s="921"/>
      <c r="AZ92" s="921"/>
      <c r="BA92" s="921"/>
      <c r="BB92" s="921"/>
      <c r="BC92" s="921"/>
      <c r="BD92" s="921"/>
      <c r="BE92" s="921"/>
      <c r="BF92" s="921"/>
    </row>
    <row r="93" spans="1:58" ht="14.25" thickTop="1" thickBot="1">
      <c r="A93" s="958">
        <v>81</v>
      </c>
      <c r="B93" s="959">
        <v>12</v>
      </c>
      <c r="C93" s="1026" t="s">
        <v>991</v>
      </c>
      <c r="D93" s="918">
        <v>0</v>
      </c>
      <c r="E93" s="1037">
        <v>0.126</v>
      </c>
      <c r="F93" s="1020">
        <v>0.122</v>
      </c>
      <c r="G93" s="1032">
        <v>0</v>
      </c>
      <c r="H93" s="1027">
        <v>0.1227</v>
      </c>
      <c r="I93" s="1020">
        <v>0.1187</v>
      </c>
      <c r="J93" s="1033">
        <v>0</v>
      </c>
      <c r="K93" s="1028">
        <v>0.1101</v>
      </c>
      <c r="L93" s="1020">
        <v>0.1061</v>
      </c>
      <c r="M93" s="1034">
        <v>0</v>
      </c>
      <c r="N93" s="1028">
        <v>8.8400000000000006E-2</v>
      </c>
      <c r="O93" s="1023">
        <v>0</v>
      </c>
      <c r="P93" s="926"/>
      <c r="Q93" s="1035"/>
      <c r="R93" s="926"/>
      <c r="S93" s="1036">
        <v>0</v>
      </c>
      <c r="T93" s="1029">
        <v>8.8400000000000006E-2</v>
      </c>
      <c r="U93" s="1029">
        <v>8.4400000000000003E-2</v>
      </c>
      <c r="V93" s="926"/>
      <c r="W93" s="983"/>
      <c r="X93" s="998"/>
      <c r="Y93" s="926"/>
      <c r="Z93" s="1018">
        <v>100</v>
      </c>
      <c r="AA93" s="992">
        <v>750</v>
      </c>
      <c r="AB93" s="993">
        <v>0.2</v>
      </c>
      <c r="AC93" s="988"/>
      <c r="AD93" s="989"/>
      <c r="AE93" s="988"/>
      <c r="AF93" s="989"/>
      <c r="AG93" s="988"/>
      <c r="AH93" s="989"/>
      <c r="AI93" s="988"/>
      <c r="AJ93" s="989"/>
      <c r="AK93" s="921"/>
      <c r="AL93" s="1019">
        <v>100</v>
      </c>
      <c r="AM93" s="1019">
        <v>100</v>
      </c>
      <c r="AN93" s="921"/>
      <c r="AO93" s="992">
        <v>750</v>
      </c>
      <c r="AP93" s="992">
        <v>4</v>
      </c>
      <c r="AQ93" s="1019"/>
      <c r="AR93" s="921"/>
      <c r="AS93" s="921"/>
      <c r="AT93" s="921"/>
      <c r="AU93" s="921"/>
      <c r="AV93" s="921"/>
      <c r="AW93" s="921"/>
      <c r="AX93" s="921"/>
      <c r="AY93" s="921"/>
      <c r="AZ93" s="921"/>
      <c r="BA93" s="921"/>
      <c r="BB93" s="921"/>
      <c r="BC93" s="921"/>
      <c r="BD93" s="921"/>
      <c r="BE93" s="921"/>
      <c r="BF93" s="921"/>
    </row>
    <row r="94" spans="1:58" ht="14.25" thickTop="1" thickBot="1">
      <c r="A94" s="958">
        <v>82</v>
      </c>
      <c r="B94" s="959">
        <v>1</v>
      </c>
      <c r="C94" s="1026" t="s">
        <v>992</v>
      </c>
      <c r="D94" s="918">
        <v>0</v>
      </c>
      <c r="E94" s="1037">
        <v>0.126</v>
      </c>
      <c r="F94" s="1020">
        <v>0.122</v>
      </c>
      <c r="G94" s="1032">
        <v>0</v>
      </c>
      <c r="H94" s="1027">
        <v>0.1227</v>
      </c>
      <c r="I94" s="1020">
        <v>0.1187</v>
      </c>
      <c r="J94" s="1033">
        <v>0</v>
      </c>
      <c r="K94" s="1028">
        <v>0.1101</v>
      </c>
      <c r="L94" s="1020">
        <v>0.1061</v>
      </c>
      <c r="M94" s="1034">
        <v>0</v>
      </c>
      <c r="N94" s="1028">
        <v>8.8400000000000006E-2</v>
      </c>
      <c r="O94" s="1023">
        <v>0</v>
      </c>
      <c r="P94" s="926"/>
      <c r="Q94" s="1035"/>
      <c r="R94" s="926"/>
      <c r="S94" s="1036">
        <v>0</v>
      </c>
      <c r="T94" s="1029">
        <v>8.8400000000000006E-2</v>
      </c>
      <c r="U94" s="1029">
        <v>8.4400000000000003E-2</v>
      </c>
      <c r="V94" s="926"/>
      <c r="W94" s="983"/>
      <c r="X94" s="998"/>
      <c r="Y94" s="926"/>
      <c r="Z94" s="1018">
        <v>100</v>
      </c>
      <c r="AA94" s="992">
        <v>750</v>
      </c>
      <c r="AB94" s="993">
        <v>0.2</v>
      </c>
      <c r="AC94" s="988"/>
      <c r="AD94" s="989"/>
      <c r="AE94" s="988"/>
      <c r="AF94" s="989"/>
      <c r="AG94" s="988"/>
      <c r="AH94" s="989"/>
      <c r="AI94" s="988"/>
      <c r="AJ94" s="989"/>
      <c r="AK94" s="921"/>
      <c r="AL94" s="1019">
        <v>100</v>
      </c>
      <c r="AM94" s="1019">
        <v>100</v>
      </c>
      <c r="AN94" s="921"/>
      <c r="AO94" s="992">
        <v>750</v>
      </c>
      <c r="AP94" s="992">
        <v>4</v>
      </c>
      <c r="AQ94" s="1019"/>
      <c r="AR94" s="921"/>
      <c r="AS94" s="921"/>
      <c r="AT94" s="921"/>
      <c r="AU94" s="921"/>
      <c r="AV94" s="921"/>
      <c r="AW94" s="921"/>
      <c r="AX94" s="921"/>
      <c r="AY94" s="921"/>
      <c r="AZ94" s="921"/>
      <c r="BA94" s="921"/>
      <c r="BB94" s="921"/>
      <c r="BC94" s="921"/>
      <c r="BD94" s="921"/>
      <c r="BE94" s="921"/>
      <c r="BF94" s="921"/>
    </row>
    <row r="95" spans="1:58" ht="14.25" thickTop="1" thickBot="1">
      <c r="A95" s="958">
        <v>83</v>
      </c>
      <c r="B95" s="959">
        <v>2</v>
      </c>
      <c r="C95" s="1026" t="s">
        <v>996</v>
      </c>
      <c r="D95" s="918">
        <v>0</v>
      </c>
      <c r="E95" s="1037">
        <v>0.126</v>
      </c>
      <c r="F95" s="1020">
        <v>0.122</v>
      </c>
      <c r="G95" s="1032">
        <v>0</v>
      </c>
      <c r="H95" s="1027">
        <v>0.1227</v>
      </c>
      <c r="I95" s="1020">
        <v>0.1187</v>
      </c>
      <c r="J95" s="1033">
        <v>0</v>
      </c>
      <c r="K95" s="1028">
        <v>0.1101</v>
      </c>
      <c r="L95" s="1020">
        <v>0.1061</v>
      </c>
      <c r="M95" s="1034">
        <v>0</v>
      </c>
      <c r="N95" s="1028">
        <v>8.8400000000000006E-2</v>
      </c>
      <c r="O95" s="1023">
        <v>0</v>
      </c>
      <c r="P95" s="926"/>
      <c r="Q95" s="1035"/>
      <c r="R95" s="926"/>
      <c r="S95" s="1036">
        <v>0</v>
      </c>
      <c r="T95" s="1029">
        <v>8.8400000000000006E-2</v>
      </c>
      <c r="U95" s="1029">
        <v>8.4400000000000003E-2</v>
      </c>
      <c r="V95" s="926"/>
      <c r="W95" s="983"/>
      <c r="X95" s="998"/>
      <c r="Y95" s="926"/>
      <c r="Z95" s="1018">
        <v>100</v>
      </c>
      <c r="AA95" s="992">
        <v>750</v>
      </c>
      <c r="AB95" s="993">
        <v>0.2</v>
      </c>
      <c r="AC95" s="988"/>
      <c r="AD95" s="989"/>
      <c r="AE95" s="988"/>
      <c r="AF95" s="989"/>
      <c r="AG95" s="988"/>
      <c r="AH95" s="989"/>
      <c r="AI95" s="988"/>
      <c r="AJ95" s="989"/>
      <c r="AK95" s="921"/>
      <c r="AL95" s="1019">
        <v>100</v>
      </c>
      <c r="AM95" s="1019">
        <v>100</v>
      </c>
      <c r="AN95" s="921"/>
      <c r="AO95" s="992">
        <v>750</v>
      </c>
      <c r="AP95" s="992">
        <v>4</v>
      </c>
      <c r="AQ95" s="1019"/>
      <c r="AR95" s="921"/>
      <c r="AS95" s="921"/>
      <c r="AT95" s="921"/>
      <c r="AU95" s="921"/>
      <c r="AV95" s="921"/>
      <c r="AW95" s="921"/>
      <c r="AX95" s="921"/>
      <c r="AY95" s="921"/>
      <c r="AZ95" s="921"/>
      <c r="BA95" s="921"/>
      <c r="BB95" s="921"/>
      <c r="BC95" s="921"/>
      <c r="BD95" s="921"/>
      <c r="BE95" s="921"/>
      <c r="BF95" s="921"/>
    </row>
    <row r="96" spans="1:58" ht="14.25" thickTop="1" thickBot="1">
      <c r="A96" s="958">
        <v>84</v>
      </c>
      <c r="B96" s="959">
        <v>3</v>
      </c>
      <c r="C96" s="1026" t="s">
        <v>997</v>
      </c>
      <c r="D96" s="918">
        <v>0</v>
      </c>
      <c r="E96" s="1037">
        <v>0.126</v>
      </c>
      <c r="F96" s="1020">
        <v>0.122</v>
      </c>
      <c r="G96" s="1032">
        <v>0</v>
      </c>
      <c r="H96" s="1027">
        <v>0.1227</v>
      </c>
      <c r="I96" s="1020">
        <v>0.1187</v>
      </c>
      <c r="J96" s="1033">
        <v>0</v>
      </c>
      <c r="K96" s="1028">
        <v>0.1101</v>
      </c>
      <c r="L96" s="1020">
        <v>0.1061</v>
      </c>
      <c r="M96" s="1034">
        <v>0</v>
      </c>
      <c r="N96" s="1028">
        <v>8.8400000000000006E-2</v>
      </c>
      <c r="O96" s="1023">
        <v>0</v>
      </c>
      <c r="P96" s="926"/>
      <c r="Q96" s="1035"/>
      <c r="R96" s="926"/>
      <c r="S96" s="1036">
        <v>0</v>
      </c>
      <c r="T96" s="1029">
        <v>8.8400000000000006E-2</v>
      </c>
      <c r="U96" s="1029">
        <v>8.4400000000000003E-2</v>
      </c>
      <c r="V96" s="926"/>
      <c r="W96" s="983"/>
      <c r="X96" s="998"/>
      <c r="Y96" s="926"/>
      <c r="Z96" s="1018">
        <v>100</v>
      </c>
      <c r="AA96" s="992">
        <v>750</v>
      </c>
      <c r="AB96" s="993">
        <v>0.2</v>
      </c>
      <c r="AC96" s="988"/>
      <c r="AD96" s="989"/>
      <c r="AE96" s="988"/>
      <c r="AF96" s="989"/>
      <c r="AG96" s="988"/>
      <c r="AH96" s="989"/>
      <c r="AI96" s="988"/>
      <c r="AJ96" s="989"/>
      <c r="AK96" s="921"/>
      <c r="AL96" s="1019">
        <v>100</v>
      </c>
      <c r="AM96" s="1019">
        <v>100</v>
      </c>
      <c r="AN96" s="921"/>
      <c r="AO96" s="992">
        <v>750</v>
      </c>
      <c r="AP96" s="992">
        <v>4</v>
      </c>
      <c r="AQ96" s="1019"/>
      <c r="AR96" s="921"/>
      <c r="AS96" s="921"/>
      <c r="AT96" s="921"/>
      <c r="AU96" s="921"/>
      <c r="AV96" s="921"/>
      <c r="AW96" s="921"/>
      <c r="AX96" s="921"/>
      <c r="AY96" s="921"/>
      <c r="AZ96" s="921"/>
      <c r="BA96" s="921"/>
      <c r="BB96" s="921"/>
      <c r="BC96" s="921"/>
      <c r="BD96" s="921"/>
      <c r="BE96" s="921"/>
      <c r="BF96" s="921"/>
    </row>
    <row r="97" spans="1:58" ht="14.25" thickTop="1" thickBot="1">
      <c r="A97" s="958">
        <v>85</v>
      </c>
      <c r="B97" s="959">
        <v>4</v>
      </c>
      <c r="C97" s="1026" t="s">
        <v>998</v>
      </c>
      <c r="D97" s="918">
        <v>0</v>
      </c>
      <c r="E97" s="1037">
        <v>0.126</v>
      </c>
      <c r="F97" s="1020">
        <v>0.122</v>
      </c>
      <c r="G97" s="1032">
        <v>0</v>
      </c>
      <c r="H97" s="1027">
        <v>0.1227</v>
      </c>
      <c r="I97" s="1020">
        <v>0.1187</v>
      </c>
      <c r="J97" s="1033">
        <v>0</v>
      </c>
      <c r="K97" s="1028">
        <v>0.1101</v>
      </c>
      <c r="L97" s="1020">
        <v>0.1061</v>
      </c>
      <c r="M97" s="1034">
        <v>0</v>
      </c>
      <c r="N97" s="1028">
        <v>8.8400000000000006E-2</v>
      </c>
      <c r="O97" s="1023">
        <v>0</v>
      </c>
      <c r="P97" s="926"/>
      <c r="Q97" s="1035"/>
      <c r="R97" s="926"/>
      <c r="S97" s="1036">
        <v>0</v>
      </c>
      <c r="T97" s="1029">
        <v>8.8400000000000006E-2</v>
      </c>
      <c r="U97" s="1029">
        <v>8.4400000000000003E-2</v>
      </c>
      <c r="V97" s="926"/>
      <c r="W97" s="983"/>
      <c r="X97" s="998"/>
      <c r="Y97" s="926"/>
      <c r="Z97" s="1018">
        <v>100</v>
      </c>
      <c r="AA97" s="992">
        <v>750</v>
      </c>
      <c r="AB97" s="993">
        <v>0.2</v>
      </c>
      <c r="AC97" s="988"/>
      <c r="AD97" s="989"/>
      <c r="AE97" s="988"/>
      <c r="AF97" s="989"/>
      <c r="AG97" s="988"/>
      <c r="AH97" s="989"/>
      <c r="AI97" s="988"/>
      <c r="AJ97" s="989"/>
      <c r="AK97" s="921"/>
      <c r="AL97" s="1019">
        <v>100</v>
      </c>
      <c r="AM97" s="1019">
        <v>100</v>
      </c>
      <c r="AN97" s="921"/>
      <c r="AO97" s="992">
        <v>750</v>
      </c>
      <c r="AP97" s="992">
        <v>4</v>
      </c>
      <c r="AQ97" s="1019"/>
      <c r="AR97" s="921"/>
      <c r="AS97" s="921"/>
      <c r="AT97" s="921"/>
      <c r="AU97" s="921"/>
      <c r="AV97" s="921"/>
      <c r="AW97" s="921"/>
      <c r="AX97" s="921"/>
      <c r="AY97" s="921"/>
      <c r="AZ97" s="921"/>
      <c r="BA97" s="921"/>
      <c r="BB97" s="921"/>
      <c r="BC97" s="921"/>
      <c r="BD97" s="921"/>
      <c r="BE97" s="921"/>
      <c r="BF97" s="921"/>
    </row>
    <row r="98" spans="1:58" ht="14.25" thickTop="1" thickBot="1">
      <c r="A98" s="958">
        <v>86</v>
      </c>
      <c r="B98" s="959">
        <v>5</v>
      </c>
      <c r="C98" s="1026" t="s">
        <v>1000</v>
      </c>
      <c r="D98" s="918">
        <v>0</v>
      </c>
      <c r="E98" s="1037">
        <v>0.126</v>
      </c>
      <c r="F98" s="1020">
        <v>0.122</v>
      </c>
      <c r="G98" s="1032">
        <f t="shared" ref="G98:G165" si="18">IF(ISNUMBER($D98),$D98,"")</f>
        <v>0</v>
      </c>
      <c r="H98" s="1027">
        <v>0.1227</v>
      </c>
      <c r="I98" s="1020">
        <v>0.1187</v>
      </c>
      <c r="J98" s="1033">
        <f t="shared" ref="J98:J165" si="19">IF(ISNUMBER($D98),$D98,"")</f>
        <v>0</v>
      </c>
      <c r="K98" s="1028">
        <v>0.1101</v>
      </c>
      <c r="L98" s="1020">
        <v>0.1061</v>
      </c>
      <c r="M98" s="1034">
        <f t="shared" ref="M98:M165" si="20">IF(ISNUMBER($D98),$D98,"")</f>
        <v>0</v>
      </c>
      <c r="N98" s="1028">
        <v>8.8400000000000006E-2</v>
      </c>
      <c r="O98" s="1023">
        <v>0</v>
      </c>
      <c r="P98" s="926"/>
      <c r="Q98" s="1035"/>
      <c r="R98" s="926"/>
      <c r="S98" s="1036">
        <f t="shared" ref="S98:S165" si="21">IF(ISNUMBER($D98),$D98,"")</f>
        <v>0</v>
      </c>
      <c r="T98" s="1029">
        <v>8.8400000000000006E-2</v>
      </c>
      <c r="U98" s="1029">
        <v>8.4400000000000003E-2</v>
      </c>
      <c r="V98" s="926"/>
      <c r="W98" s="983"/>
      <c r="X98" s="998"/>
      <c r="Y98" s="926"/>
      <c r="Z98" s="1018">
        <v>100</v>
      </c>
      <c r="AA98" s="992">
        <v>750</v>
      </c>
      <c r="AB98" s="993">
        <v>0.2</v>
      </c>
      <c r="AC98" s="988"/>
      <c r="AD98" s="989"/>
      <c r="AE98" s="988"/>
      <c r="AF98" s="989"/>
      <c r="AG98" s="988"/>
      <c r="AH98" s="989"/>
      <c r="AI98" s="988"/>
      <c r="AJ98" s="989"/>
      <c r="AK98" s="921"/>
      <c r="AL98" s="1019">
        <v>100</v>
      </c>
      <c r="AM98" s="1019">
        <v>100</v>
      </c>
      <c r="AN98" s="921"/>
      <c r="AO98" s="992">
        <v>750</v>
      </c>
      <c r="AP98" s="992">
        <v>4</v>
      </c>
      <c r="AQ98" s="1019"/>
      <c r="AR98" s="921"/>
      <c r="AS98" s="921"/>
      <c r="AT98" s="921"/>
      <c r="AU98" s="921"/>
      <c r="AV98" s="921"/>
      <c r="AW98" s="921"/>
      <c r="AX98" s="921"/>
      <c r="AY98" s="921"/>
      <c r="AZ98" s="921"/>
      <c r="BA98" s="921"/>
      <c r="BB98" s="921"/>
      <c r="BC98" s="921"/>
      <c r="BD98" s="921"/>
      <c r="BE98" s="921"/>
      <c r="BF98" s="921"/>
    </row>
    <row r="99" spans="1:58" ht="14.25" thickTop="1" thickBot="1">
      <c r="A99" s="958">
        <v>87</v>
      </c>
      <c r="B99" s="959">
        <v>6</v>
      </c>
      <c r="C99" s="1026" t="s">
        <v>1001</v>
      </c>
      <c r="D99" s="918">
        <v>0</v>
      </c>
      <c r="E99" s="1037">
        <v>0.126</v>
      </c>
      <c r="F99" s="1020">
        <v>0.122</v>
      </c>
      <c r="G99" s="1032">
        <f t="shared" si="18"/>
        <v>0</v>
      </c>
      <c r="H99" s="1027">
        <v>0.1227</v>
      </c>
      <c r="I99" s="1020">
        <v>0.1187</v>
      </c>
      <c r="J99" s="1033">
        <f t="shared" si="19"/>
        <v>0</v>
      </c>
      <c r="K99" s="1028">
        <v>0.1101</v>
      </c>
      <c r="L99" s="1020">
        <v>0.1061</v>
      </c>
      <c r="M99" s="1034">
        <f t="shared" si="20"/>
        <v>0</v>
      </c>
      <c r="N99" s="1028">
        <v>8.8400000000000006E-2</v>
      </c>
      <c r="O99" s="1023">
        <v>0</v>
      </c>
      <c r="P99" s="926"/>
      <c r="Q99" s="1035"/>
      <c r="R99" s="926"/>
      <c r="S99" s="1036">
        <f t="shared" si="21"/>
        <v>0</v>
      </c>
      <c r="T99" s="1029">
        <v>8.8400000000000006E-2</v>
      </c>
      <c r="U99" s="1029">
        <v>8.4400000000000003E-2</v>
      </c>
      <c r="V99" s="926"/>
      <c r="W99" s="983"/>
      <c r="X99" s="998"/>
      <c r="Y99" s="926"/>
      <c r="Z99" s="1018">
        <v>100</v>
      </c>
      <c r="AA99" s="992">
        <v>750</v>
      </c>
      <c r="AB99" s="993">
        <v>0.2</v>
      </c>
      <c r="AC99" s="988"/>
      <c r="AD99" s="989"/>
      <c r="AE99" s="988"/>
      <c r="AF99" s="989"/>
      <c r="AG99" s="988"/>
      <c r="AH99" s="989"/>
      <c r="AI99" s="988"/>
      <c r="AJ99" s="989"/>
      <c r="AK99" s="921"/>
      <c r="AL99" s="1019">
        <v>100</v>
      </c>
      <c r="AM99" s="1019">
        <v>100</v>
      </c>
      <c r="AN99" s="921"/>
      <c r="AO99" s="992">
        <v>750</v>
      </c>
      <c r="AP99" s="992">
        <v>4</v>
      </c>
      <c r="AQ99" s="1019"/>
      <c r="AR99" s="921"/>
      <c r="AS99" s="921"/>
      <c r="AT99" s="921"/>
      <c r="AU99" s="921"/>
      <c r="AV99" s="921"/>
      <c r="AW99" s="921"/>
      <c r="AX99" s="921"/>
      <c r="AY99" s="921"/>
      <c r="AZ99" s="921"/>
      <c r="BA99" s="921"/>
      <c r="BB99" s="921"/>
      <c r="BC99" s="921"/>
      <c r="BD99" s="921"/>
      <c r="BE99" s="921"/>
      <c r="BF99" s="921"/>
    </row>
    <row r="100" spans="1:58" ht="14.25" thickTop="1" thickBot="1">
      <c r="A100" s="958">
        <v>88</v>
      </c>
      <c r="B100" s="959">
        <v>7</v>
      </c>
      <c r="C100" s="1026" t="s">
        <v>1002</v>
      </c>
      <c r="D100" s="918">
        <v>0</v>
      </c>
      <c r="E100" s="1037">
        <v>0.126</v>
      </c>
      <c r="F100" s="1020">
        <v>0.122</v>
      </c>
      <c r="G100" s="1032">
        <f t="shared" si="18"/>
        <v>0</v>
      </c>
      <c r="H100" s="1027">
        <v>0.1227</v>
      </c>
      <c r="I100" s="1020">
        <v>0.1187</v>
      </c>
      <c r="J100" s="1033">
        <f t="shared" si="19"/>
        <v>0</v>
      </c>
      <c r="K100" s="1028">
        <v>0.1101</v>
      </c>
      <c r="L100" s="1020">
        <v>0.1061</v>
      </c>
      <c r="M100" s="1034">
        <f t="shared" si="20"/>
        <v>0</v>
      </c>
      <c r="N100" s="1028">
        <v>8.8400000000000006E-2</v>
      </c>
      <c r="O100" s="1023">
        <v>0</v>
      </c>
      <c r="P100" s="926"/>
      <c r="Q100" s="1035"/>
      <c r="R100" s="926"/>
      <c r="S100" s="1036">
        <f t="shared" si="21"/>
        <v>0</v>
      </c>
      <c r="T100" s="1029">
        <v>8.8400000000000006E-2</v>
      </c>
      <c r="U100" s="1029">
        <v>8.4400000000000003E-2</v>
      </c>
      <c r="V100" s="926"/>
      <c r="W100" s="983"/>
      <c r="X100" s="998"/>
      <c r="Y100" s="926"/>
      <c r="Z100" s="1018">
        <v>100</v>
      </c>
      <c r="AA100" s="992">
        <v>750</v>
      </c>
      <c r="AB100" s="993">
        <v>0.2</v>
      </c>
      <c r="AC100" s="988"/>
      <c r="AD100" s="989"/>
      <c r="AE100" s="988"/>
      <c r="AF100" s="989"/>
      <c r="AG100" s="988"/>
      <c r="AH100" s="989"/>
      <c r="AI100" s="988"/>
      <c r="AJ100" s="989"/>
      <c r="AK100" s="921"/>
      <c r="AL100" s="1019">
        <v>100</v>
      </c>
      <c r="AM100" s="1019">
        <v>100</v>
      </c>
      <c r="AN100" s="921"/>
      <c r="AO100" s="992">
        <v>750</v>
      </c>
      <c r="AP100" s="992">
        <v>4</v>
      </c>
      <c r="AQ100" s="1019"/>
      <c r="AR100" s="921"/>
      <c r="AS100" s="921"/>
      <c r="AT100" s="921"/>
      <c r="AU100" s="921"/>
      <c r="AV100" s="921"/>
      <c r="AW100" s="921"/>
      <c r="AX100" s="921"/>
      <c r="AY100" s="921"/>
      <c r="AZ100" s="921"/>
      <c r="BA100" s="921"/>
      <c r="BB100" s="921"/>
      <c r="BC100" s="921"/>
      <c r="BD100" s="921"/>
      <c r="BE100" s="921"/>
      <c r="BF100" s="921"/>
    </row>
    <row r="101" spans="1:58" ht="14.25" thickTop="1" thickBot="1">
      <c r="A101" s="958">
        <v>89</v>
      </c>
      <c r="B101" s="959">
        <v>8</v>
      </c>
      <c r="C101" s="1026" t="s">
        <v>1004</v>
      </c>
      <c r="D101" s="918">
        <v>0.01</v>
      </c>
      <c r="E101" s="1037">
        <v>0.12479999999999999</v>
      </c>
      <c r="F101" s="1020">
        <v>0.1208</v>
      </c>
      <c r="G101" s="1032">
        <f t="shared" si="18"/>
        <v>0.01</v>
      </c>
      <c r="H101" s="1027">
        <v>0.12139999999999999</v>
      </c>
      <c r="I101" s="1020">
        <v>0.1174</v>
      </c>
      <c r="J101" s="1033">
        <f t="shared" si="19"/>
        <v>0.01</v>
      </c>
      <c r="K101" s="1028">
        <v>0.109</v>
      </c>
      <c r="L101" s="1020">
        <v>0.105</v>
      </c>
      <c r="M101" s="1034">
        <f t="shared" si="20"/>
        <v>0.01</v>
      </c>
      <c r="N101" s="1028">
        <v>8.7499999999999994E-2</v>
      </c>
      <c r="O101" s="1023">
        <v>0</v>
      </c>
      <c r="P101" s="926"/>
      <c r="Q101" s="1035"/>
      <c r="R101" s="926"/>
      <c r="S101" s="1036">
        <f t="shared" si="21"/>
        <v>0.01</v>
      </c>
      <c r="T101" s="1029">
        <v>8.7499999999999994E-2</v>
      </c>
      <c r="U101" s="1029">
        <v>8.3500000000000005E-2</v>
      </c>
      <c r="V101" s="926"/>
      <c r="W101" s="983"/>
      <c r="X101" s="998"/>
      <c r="Y101" s="926"/>
      <c r="Z101" s="1018">
        <v>100</v>
      </c>
      <c r="AA101" s="992">
        <v>750</v>
      </c>
      <c r="AB101" s="993">
        <v>0.2</v>
      </c>
      <c r="AC101" s="988"/>
      <c r="AD101" s="989"/>
      <c r="AE101" s="988"/>
      <c r="AF101" s="989"/>
      <c r="AG101" s="988"/>
      <c r="AH101" s="989"/>
      <c r="AI101" s="988"/>
      <c r="AJ101" s="989"/>
      <c r="AK101" s="921"/>
      <c r="AL101" s="1019">
        <v>100</v>
      </c>
      <c r="AM101" s="1019">
        <v>100</v>
      </c>
      <c r="AN101" s="921"/>
      <c r="AO101" s="992">
        <v>750</v>
      </c>
      <c r="AP101" s="992">
        <v>4</v>
      </c>
      <c r="AQ101" s="1019"/>
      <c r="AR101" s="921"/>
      <c r="AS101" s="921"/>
      <c r="AT101" s="921"/>
      <c r="AU101" s="921"/>
      <c r="AV101" s="921"/>
      <c r="AW101" s="921"/>
      <c r="AX101" s="921"/>
      <c r="AY101" s="921"/>
      <c r="AZ101" s="921"/>
      <c r="BA101" s="921"/>
      <c r="BB101" s="921"/>
      <c r="BC101" s="921"/>
      <c r="BD101" s="921"/>
      <c r="BE101" s="921"/>
      <c r="BF101" s="921"/>
    </row>
    <row r="102" spans="1:58" ht="14.25" thickTop="1" thickBot="1">
      <c r="A102" s="958">
        <v>90</v>
      </c>
      <c r="B102" s="959">
        <v>9</v>
      </c>
      <c r="C102" s="1026" t="s">
        <v>1005</v>
      </c>
      <c r="D102" s="918">
        <v>0.01</v>
      </c>
      <c r="E102" s="1037">
        <v>0.1235</v>
      </c>
      <c r="F102" s="1020">
        <v>0.1195</v>
      </c>
      <c r="G102" s="1032">
        <f t="shared" si="18"/>
        <v>0.01</v>
      </c>
      <c r="H102" s="1027">
        <v>0.1202</v>
      </c>
      <c r="I102" s="1020">
        <v>0.1162</v>
      </c>
      <c r="J102" s="1033">
        <f t="shared" si="19"/>
        <v>0.01</v>
      </c>
      <c r="K102" s="1028">
        <v>0.1079</v>
      </c>
      <c r="L102" s="1020">
        <v>0.10390000000000001</v>
      </c>
      <c r="M102" s="1034">
        <f t="shared" si="20"/>
        <v>0.01</v>
      </c>
      <c r="N102" s="1028">
        <v>8.6699999999999999E-2</v>
      </c>
      <c r="O102" s="1023">
        <v>0</v>
      </c>
      <c r="P102" s="926"/>
      <c r="Q102" s="1035"/>
      <c r="R102" s="926"/>
      <c r="S102" s="1036">
        <f t="shared" si="21"/>
        <v>0.01</v>
      </c>
      <c r="T102" s="1029">
        <v>8.6699999999999999E-2</v>
      </c>
      <c r="U102" s="1029">
        <v>8.2699999999999996E-2</v>
      </c>
      <c r="V102" s="926"/>
      <c r="W102" s="983"/>
      <c r="X102" s="998"/>
      <c r="Y102" s="926"/>
      <c r="Z102" s="1018">
        <v>100</v>
      </c>
      <c r="AA102" s="992">
        <v>750</v>
      </c>
      <c r="AB102" s="993">
        <v>0.2</v>
      </c>
      <c r="AC102" s="988"/>
      <c r="AD102" s="989"/>
      <c r="AE102" s="988"/>
      <c r="AF102" s="989"/>
      <c r="AG102" s="988"/>
      <c r="AH102" s="989"/>
      <c r="AI102" s="988"/>
      <c r="AJ102" s="989"/>
      <c r="AK102" s="921"/>
      <c r="AL102" s="1019">
        <v>100</v>
      </c>
      <c r="AM102" s="1019">
        <v>100</v>
      </c>
      <c r="AN102" s="921"/>
      <c r="AO102" s="992">
        <v>750</v>
      </c>
      <c r="AP102" s="992">
        <v>4</v>
      </c>
      <c r="AQ102" s="1019"/>
      <c r="AR102" s="921"/>
      <c r="AS102" s="921"/>
      <c r="AT102" s="921"/>
      <c r="AU102" s="921"/>
      <c r="AV102" s="921"/>
      <c r="AW102" s="921"/>
      <c r="AX102" s="921"/>
      <c r="AY102" s="921"/>
      <c r="AZ102" s="921"/>
      <c r="BA102" s="921"/>
      <c r="BB102" s="921"/>
      <c r="BC102" s="921"/>
      <c r="BD102" s="921"/>
      <c r="BE102" s="921"/>
      <c r="BF102" s="921"/>
    </row>
    <row r="103" spans="1:58" ht="14.25" thickTop="1" thickBot="1">
      <c r="A103" s="958">
        <v>91</v>
      </c>
      <c r="B103" s="959">
        <v>10</v>
      </c>
      <c r="C103" s="1026" t="s">
        <v>1006</v>
      </c>
      <c r="D103" s="918">
        <v>0.01</v>
      </c>
      <c r="E103" s="1037">
        <v>0.12230000000000001</v>
      </c>
      <c r="F103" s="1020">
        <v>0.1183</v>
      </c>
      <c r="G103" s="1032">
        <f t="shared" si="18"/>
        <v>0.01</v>
      </c>
      <c r="H103" s="1027">
        <v>0.11899999999999999</v>
      </c>
      <c r="I103" s="1020">
        <v>0.115</v>
      </c>
      <c r="J103" s="1033">
        <f t="shared" si="19"/>
        <v>0.01</v>
      </c>
      <c r="K103" s="1028">
        <v>0.10680000000000001</v>
      </c>
      <c r="L103" s="1020">
        <v>0.1028</v>
      </c>
      <c r="M103" s="1034">
        <f t="shared" si="20"/>
        <v>0.01</v>
      </c>
      <c r="N103" s="1028">
        <v>8.5800000000000001E-2</v>
      </c>
      <c r="O103" s="1023">
        <v>8.1799999999999998E-2</v>
      </c>
      <c r="P103" s="926"/>
      <c r="Q103" s="1035"/>
      <c r="R103" s="926"/>
      <c r="S103" s="1036">
        <f t="shared" si="21"/>
        <v>0.01</v>
      </c>
      <c r="T103" s="1029">
        <v>8.5800000000000001E-2</v>
      </c>
      <c r="U103" s="1029">
        <v>8.1799999999999998E-2</v>
      </c>
      <c r="V103" s="926"/>
      <c r="W103" s="983"/>
      <c r="X103" s="998"/>
      <c r="Y103" s="926"/>
      <c r="Z103" s="1018">
        <v>100</v>
      </c>
      <c r="AA103" s="992">
        <v>750</v>
      </c>
      <c r="AB103" s="993">
        <v>0.2</v>
      </c>
      <c r="AC103" s="988"/>
      <c r="AD103" s="989"/>
      <c r="AE103" s="988"/>
      <c r="AF103" s="989"/>
      <c r="AG103" s="988"/>
      <c r="AH103" s="989"/>
      <c r="AI103" s="988"/>
      <c r="AJ103" s="989"/>
      <c r="AK103" s="921"/>
      <c r="AL103" s="1019">
        <v>100</v>
      </c>
      <c r="AM103" s="1019">
        <v>100</v>
      </c>
      <c r="AN103" s="921"/>
      <c r="AO103" s="992">
        <v>750</v>
      </c>
      <c r="AP103" s="992">
        <v>4</v>
      </c>
      <c r="AQ103" s="1019"/>
      <c r="AR103" s="921"/>
      <c r="AS103" s="921"/>
      <c r="AT103" s="921"/>
      <c r="AU103" s="921"/>
      <c r="AV103" s="921"/>
      <c r="AW103" s="921"/>
      <c r="AX103" s="921"/>
      <c r="AY103" s="921"/>
      <c r="AZ103" s="921"/>
      <c r="BA103" s="921"/>
      <c r="BB103" s="921"/>
      <c r="BC103" s="921"/>
      <c r="BD103" s="921"/>
      <c r="BE103" s="921"/>
      <c r="BF103" s="921"/>
    </row>
    <row r="104" spans="1:58" ht="14.25" thickTop="1" thickBot="1">
      <c r="A104" s="958">
        <v>92</v>
      </c>
      <c r="B104" s="959">
        <v>11</v>
      </c>
      <c r="C104" s="1026" t="s">
        <v>1008</v>
      </c>
      <c r="D104" s="918">
        <v>0.01</v>
      </c>
      <c r="E104" s="1037">
        <v>0.1211</v>
      </c>
      <c r="F104" s="1020">
        <v>0.1171</v>
      </c>
      <c r="G104" s="1032">
        <f t="shared" si="18"/>
        <v>0.01</v>
      </c>
      <c r="H104" s="1027">
        <v>0.1178</v>
      </c>
      <c r="I104" s="1020">
        <v>0.1138</v>
      </c>
      <c r="J104" s="1033">
        <f t="shared" si="19"/>
        <v>0.01</v>
      </c>
      <c r="K104" s="1028">
        <v>0.1057</v>
      </c>
      <c r="L104" s="1020">
        <v>0.1017</v>
      </c>
      <c r="M104" s="1034">
        <f t="shared" si="20"/>
        <v>0.01</v>
      </c>
      <c r="N104" s="1028">
        <v>8.4900000000000003E-2</v>
      </c>
      <c r="O104" s="1023">
        <v>8.09E-2</v>
      </c>
      <c r="P104" s="926"/>
      <c r="Q104" s="1035"/>
      <c r="R104" s="926"/>
      <c r="S104" s="1036">
        <f t="shared" si="21"/>
        <v>0.01</v>
      </c>
      <c r="T104" s="1029">
        <v>8.4900000000000003E-2</v>
      </c>
      <c r="U104" s="1029">
        <v>8.09E-2</v>
      </c>
      <c r="V104" s="926"/>
      <c r="W104" s="983"/>
      <c r="X104" s="998"/>
      <c r="Y104" s="926"/>
      <c r="Z104" s="1018">
        <v>100</v>
      </c>
      <c r="AA104" s="992">
        <v>750</v>
      </c>
      <c r="AB104" s="993">
        <v>0.2</v>
      </c>
      <c r="AC104" s="988"/>
      <c r="AD104" s="989"/>
      <c r="AE104" s="988"/>
      <c r="AF104" s="989"/>
      <c r="AG104" s="988"/>
      <c r="AH104" s="989"/>
      <c r="AI104" s="988"/>
      <c r="AJ104" s="989"/>
      <c r="AK104" s="921"/>
      <c r="AL104" s="1019">
        <v>100</v>
      </c>
      <c r="AM104" s="1019">
        <v>100</v>
      </c>
      <c r="AN104" s="921"/>
      <c r="AO104" s="992">
        <v>750</v>
      </c>
      <c r="AP104" s="992">
        <v>4</v>
      </c>
      <c r="AQ104" s="1019"/>
      <c r="AR104" s="921"/>
      <c r="AS104" s="921"/>
      <c r="AT104" s="921"/>
      <c r="AU104" s="921"/>
      <c r="AV104" s="921"/>
      <c r="AW104" s="921"/>
      <c r="AX104" s="921"/>
      <c r="AY104" s="921"/>
      <c r="AZ104" s="921"/>
      <c r="BA104" s="921"/>
      <c r="BB104" s="921"/>
      <c r="BC104" s="921"/>
      <c r="BD104" s="921"/>
      <c r="BE104" s="921"/>
      <c r="BF104" s="921"/>
    </row>
    <row r="105" spans="1:58" ht="14.25" thickTop="1" thickBot="1">
      <c r="A105" s="958">
        <v>93</v>
      </c>
      <c r="B105" s="959">
        <v>12</v>
      </c>
      <c r="C105" s="1026" t="s">
        <v>1009</v>
      </c>
      <c r="D105" s="918">
        <v>0.01</v>
      </c>
      <c r="E105" s="1037">
        <v>0.11990000000000001</v>
      </c>
      <c r="F105" s="1020">
        <v>0.1159</v>
      </c>
      <c r="G105" s="1032">
        <f t="shared" si="18"/>
        <v>0.01</v>
      </c>
      <c r="H105" s="1027">
        <v>0.1167</v>
      </c>
      <c r="I105" s="1020">
        <v>0.11269999999999999</v>
      </c>
      <c r="J105" s="1033">
        <f t="shared" si="19"/>
        <v>0.01</v>
      </c>
      <c r="K105" s="1028">
        <v>0.1047</v>
      </c>
      <c r="L105" s="1020">
        <v>0.1007</v>
      </c>
      <c r="M105" s="1034">
        <f t="shared" si="20"/>
        <v>0.01</v>
      </c>
      <c r="N105" s="1028">
        <v>8.4099999999999994E-2</v>
      </c>
      <c r="O105" s="1023">
        <v>8.0100000000000005E-2</v>
      </c>
      <c r="P105" s="926"/>
      <c r="Q105" s="1035"/>
      <c r="R105" s="926"/>
      <c r="S105" s="1036">
        <f t="shared" si="21"/>
        <v>0.01</v>
      </c>
      <c r="T105" s="1029">
        <v>8.4099999999999994E-2</v>
      </c>
      <c r="U105" s="1029">
        <v>8.0100000000000005E-2</v>
      </c>
      <c r="V105" s="926"/>
      <c r="W105" s="983"/>
      <c r="X105" s="998"/>
      <c r="Y105" s="926"/>
      <c r="Z105" s="1018">
        <v>100</v>
      </c>
      <c r="AA105" s="992">
        <v>750</v>
      </c>
      <c r="AB105" s="993">
        <v>0.2</v>
      </c>
      <c r="AC105" s="988"/>
      <c r="AD105" s="989"/>
      <c r="AE105" s="988"/>
      <c r="AF105" s="989"/>
      <c r="AG105" s="988"/>
      <c r="AH105" s="989"/>
      <c r="AI105" s="988"/>
      <c r="AJ105" s="989"/>
      <c r="AK105" s="921"/>
      <c r="AL105" s="1019">
        <v>100</v>
      </c>
      <c r="AM105" s="1019">
        <v>100</v>
      </c>
      <c r="AN105" s="921"/>
      <c r="AO105" s="992">
        <v>750</v>
      </c>
      <c r="AP105" s="992">
        <v>4</v>
      </c>
      <c r="AQ105" s="1019"/>
      <c r="AR105" s="921"/>
      <c r="AS105" s="921"/>
      <c r="AT105" s="921"/>
      <c r="AU105" s="921"/>
      <c r="AV105" s="921"/>
      <c r="AW105" s="921"/>
      <c r="AX105" s="921"/>
      <c r="AY105" s="921"/>
      <c r="AZ105" s="921"/>
      <c r="BA105" s="921"/>
      <c r="BB105" s="921"/>
      <c r="BC105" s="921"/>
      <c r="BD105" s="921"/>
      <c r="BE105" s="921"/>
      <c r="BF105" s="921"/>
    </row>
    <row r="106" spans="1:58" ht="14.25" thickTop="1" thickBot="1">
      <c r="A106" s="958">
        <v>94</v>
      </c>
      <c r="B106" s="959">
        <v>1</v>
      </c>
      <c r="C106" s="1026" t="s">
        <v>1010</v>
      </c>
      <c r="D106" s="918">
        <v>0.01</v>
      </c>
      <c r="E106" s="1037">
        <v>0.1187</v>
      </c>
      <c r="F106" s="1020">
        <v>0.1147</v>
      </c>
      <c r="G106" s="1032">
        <f t="shared" si="18"/>
        <v>0.01</v>
      </c>
      <c r="H106" s="1027">
        <v>0.11550000000000001</v>
      </c>
      <c r="I106" s="1020">
        <v>0.1115</v>
      </c>
      <c r="J106" s="1033">
        <f t="shared" si="19"/>
        <v>0.01</v>
      </c>
      <c r="K106" s="1028">
        <v>0.1036</v>
      </c>
      <c r="L106" s="1020">
        <v>9.9599999999999994E-2</v>
      </c>
      <c r="M106" s="1034">
        <f t="shared" si="20"/>
        <v>0.01</v>
      </c>
      <c r="N106" s="1028">
        <v>8.3299999999999999E-2</v>
      </c>
      <c r="O106" s="1023">
        <v>7.9299999999999995E-2</v>
      </c>
      <c r="P106" s="926"/>
      <c r="Q106" s="1035"/>
      <c r="R106" s="926"/>
      <c r="S106" s="1036">
        <f t="shared" si="21"/>
        <v>0.01</v>
      </c>
      <c r="T106" s="1029">
        <v>8.3299999999999999E-2</v>
      </c>
      <c r="U106" s="1029">
        <v>7.9299999999999995E-2</v>
      </c>
      <c r="V106" s="926"/>
      <c r="W106" s="983"/>
      <c r="X106" s="998"/>
      <c r="Y106" s="926"/>
      <c r="Z106" s="1018">
        <v>100</v>
      </c>
      <c r="AA106" s="992">
        <v>750</v>
      </c>
      <c r="AB106" s="993">
        <v>0.2</v>
      </c>
      <c r="AC106" s="988"/>
      <c r="AD106" s="989"/>
      <c r="AE106" s="988"/>
      <c r="AF106" s="989"/>
      <c r="AG106" s="988"/>
      <c r="AH106" s="989"/>
      <c r="AI106" s="988"/>
      <c r="AJ106" s="989"/>
      <c r="AK106" s="921"/>
      <c r="AL106" s="1019">
        <v>100</v>
      </c>
      <c r="AM106" s="1019">
        <v>100</v>
      </c>
      <c r="AN106" s="921"/>
      <c r="AO106" s="992">
        <v>750</v>
      </c>
      <c r="AP106" s="992">
        <v>4</v>
      </c>
      <c r="AQ106" s="1019"/>
      <c r="AR106" s="921"/>
      <c r="AS106" s="921"/>
      <c r="AT106" s="921"/>
      <c r="AU106" s="921"/>
      <c r="AV106" s="921"/>
      <c r="AW106" s="921"/>
      <c r="AX106" s="921"/>
      <c r="AY106" s="921"/>
      <c r="AZ106" s="921"/>
      <c r="BA106" s="921"/>
      <c r="BB106" s="921"/>
      <c r="BC106" s="921"/>
      <c r="BD106" s="921"/>
      <c r="BE106" s="921"/>
      <c r="BF106" s="921"/>
    </row>
    <row r="107" spans="1:58" ht="14.25" thickTop="1" thickBot="1">
      <c r="A107" s="958">
        <v>95</v>
      </c>
      <c r="B107" s="959">
        <v>2</v>
      </c>
      <c r="C107" s="1026" t="s">
        <v>1011</v>
      </c>
      <c r="D107" s="918">
        <v>0.01</v>
      </c>
      <c r="E107" s="1037">
        <v>0.11749999999999999</v>
      </c>
      <c r="F107" s="1020">
        <v>0.1135</v>
      </c>
      <c r="G107" s="1032">
        <f t="shared" si="18"/>
        <v>0.01</v>
      </c>
      <c r="H107" s="1027">
        <v>0.1143</v>
      </c>
      <c r="I107" s="1020">
        <v>0.1103</v>
      </c>
      <c r="J107" s="1033">
        <f t="shared" si="19"/>
        <v>0.01</v>
      </c>
      <c r="K107" s="1028">
        <v>9.8699999999999996E-2</v>
      </c>
      <c r="L107" s="1020">
        <v>9.4700000000000006E-2</v>
      </c>
      <c r="M107" s="1034">
        <f t="shared" si="20"/>
        <v>0.01</v>
      </c>
      <c r="N107" s="1028">
        <v>8.2400000000000001E-2</v>
      </c>
      <c r="O107" s="1023">
        <v>7.8399999999999997E-2</v>
      </c>
      <c r="P107" s="926"/>
      <c r="Q107" s="1035"/>
      <c r="R107" s="926"/>
      <c r="S107" s="1036">
        <f t="shared" si="21"/>
        <v>0.01</v>
      </c>
      <c r="T107" s="1029">
        <v>8.2400000000000001E-2</v>
      </c>
      <c r="U107" s="1029">
        <v>7.8399999999999997E-2</v>
      </c>
      <c r="V107" s="926"/>
      <c r="W107" s="983"/>
      <c r="X107" s="998"/>
      <c r="Y107" s="926"/>
      <c r="Z107" s="1018">
        <v>100</v>
      </c>
      <c r="AA107" s="992">
        <v>750</v>
      </c>
      <c r="AB107" s="993">
        <v>0.2</v>
      </c>
      <c r="AC107" s="988"/>
      <c r="AD107" s="989"/>
      <c r="AE107" s="988"/>
      <c r="AF107" s="989"/>
      <c r="AG107" s="988"/>
      <c r="AH107" s="989"/>
      <c r="AI107" s="988"/>
      <c r="AJ107" s="989"/>
      <c r="AK107" s="921"/>
      <c r="AL107" s="1019">
        <v>100</v>
      </c>
      <c r="AM107" s="1019">
        <v>100</v>
      </c>
      <c r="AN107" s="921"/>
      <c r="AO107" s="992">
        <v>750</v>
      </c>
      <c r="AP107" s="992">
        <v>4</v>
      </c>
      <c r="AQ107" s="1019"/>
      <c r="AR107" s="921"/>
      <c r="AS107" s="921"/>
      <c r="AT107" s="921"/>
      <c r="AU107" s="921"/>
      <c r="AV107" s="921"/>
      <c r="AW107" s="921"/>
      <c r="AX107" s="921"/>
      <c r="AY107" s="921"/>
      <c r="AZ107" s="921"/>
      <c r="BA107" s="921"/>
      <c r="BB107" s="921"/>
      <c r="BC107" s="921"/>
      <c r="BD107" s="921"/>
      <c r="BE107" s="921"/>
      <c r="BF107" s="921"/>
    </row>
    <row r="108" spans="1:58" ht="14.25" thickTop="1" thickBot="1">
      <c r="A108" s="958">
        <v>96</v>
      </c>
      <c r="B108" s="959">
        <v>3</v>
      </c>
      <c r="C108" s="1026" t="s">
        <v>1012</v>
      </c>
      <c r="D108" s="918">
        <v>0.01</v>
      </c>
      <c r="E108" s="1037">
        <v>0.1163</v>
      </c>
      <c r="F108" s="1020">
        <v>0.1123</v>
      </c>
      <c r="G108" s="1032">
        <f t="shared" si="18"/>
        <v>0.01</v>
      </c>
      <c r="H108" s="1027">
        <v>0.1132</v>
      </c>
      <c r="I108" s="1020">
        <v>0.10920000000000001</v>
      </c>
      <c r="J108" s="1033">
        <f t="shared" si="19"/>
        <v>0.01</v>
      </c>
      <c r="K108" s="1028">
        <v>9.3899999999999997E-2</v>
      </c>
      <c r="L108" s="1020">
        <v>8.9899999999999994E-2</v>
      </c>
      <c r="M108" s="1034">
        <f t="shared" si="20"/>
        <v>0.01</v>
      </c>
      <c r="N108" s="1028">
        <v>8.1600000000000006E-2</v>
      </c>
      <c r="O108" s="1023">
        <v>7.7600000000000002E-2</v>
      </c>
      <c r="P108" s="926"/>
      <c r="Q108" s="1035"/>
      <c r="R108" s="926"/>
      <c r="S108" s="1036">
        <f t="shared" si="21"/>
        <v>0.01</v>
      </c>
      <c r="T108" s="1029">
        <v>8.1600000000000006E-2</v>
      </c>
      <c r="U108" s="1029">
        <v>7.7600000000000002E-2</v>
      </c>
      <c r="V108" s="926"/>
      <c r="W108" s="983"/>
      <c r="X108" s="998"/>
      <c r="Y108" s="926"/>
      <c r="Z108" s="1018">
        <v>100</v>
      </c>
      <c r="AA108" s="992">
        <v>750</v>
      </c>
      <c r="AB108" s="993">
        <v>0.2</v>
      </c>
      <c r="AC108" s="988"/>
      <c r="AD108" s="989"/>
      <c r="AE108" s="988"/>
      <c r="AF108" s="989"/>
      <c r="AG108" s="988"/>
      <c r="AH108" s="989"/>
      <c r="AI108" s="988"/>
      <c r="AJ108" s="989"/>
      <c r="AK108" s="921"/>
      <c r="AL108" s="1019">
        <v>100</v>
      </c>
      <c r="AM108" s="1019">
        <v>100</v>
      </c>
      <c r="AN108" s="921"/>
      <c r="AO108" s="992">
        <v>750</v>
      </c>
      <c r="AP108" s="992">
        <v>4</v>
      </c>
      <c r="AQ108" s="1019"/>
      <c r="AR108" s="921"/>
      <c r="AS108" s="921"/>
      <c r="AT108" s="921"/>
      <c r="AU108" s="921"/>
      <c r="AV108" s="921"/>
      <c r="AW108" s="921"/>
      <c r="AX108" s="921"/>
      <c r="AY108" s="921"/>
      <c r="AZ108" s="921"/>
      <c r="BA108" s="921"/>
      <c r="BB108" s="921"/>
      <c r="BC108" s="921"/>
      <c r="BD108" s="921"/>
      <c r="BE108" s="921"/>
      <c r="BF108" s="921"/>
    </row>
    <row r="109" spans="1:58" ht="14.25" thickTop="1" thickBot="1">
      <c r="A109" s="958">
        <v>97</v>
      </c>
      <c r="B109" s="959">
        <v>4</v>
      </c>
      <c r="C109" s="1026" t="s">
        <v>1013</v>
      </c>
      <c r="D109" s="918">
        <v>0.01</v>
      </c>
      <c r="E109" s="1037">
        <v>0.11509999999999999</v>
      </c>
      <c r="F109" s="1020">
        <v>0.1111</v>
      </c>
      <c r="G109" s="1032">
        <f t="shared" si="18"/>
        <v>0.01</v>
      </c>
      <c r="H109" s="1027">
        <v>0.11210000000000001</v>
      </c>
      <c r="I109" s="1020">
        <v>0.1081</v>
      </c>
      <c r="J109" s="1033">
        <f t="shared" si="19"/>
        <v>0.01</v>
      </c>
      <c r="K109" s="1028">
        <v>8.8999999999999996E-2</v>
      </c>
      <c r="L109" s="1020">
        <v>8.5000000000000006E-2</v>
      </c>
      <c r="M109" s="1034">
        <f t="shared" si="20"/>
        <v>0.01</v>
      </c>
      <c r="N109" s="1028">
        <v>8.0799999999999997E-2</v>
      </c>
      <c r="O109" s="1023">
        <v>7.6799999999999993E-2</v>
      </c>
      <c r="P109" s="926"/>
      <c r="Q109" s="1035"/>
      <c r="R109" s="926"/>
      <c r="S109" s="1036">
        <f t="shared" si="21"/>
        <v>0.01</v>
      </c>
      <c r="T109" s="1029">
        <v>8.0799999999999997E-2</v>
      </c>
      <c r="U109" s="1029">
        <v>7.6799999999999993E-2</v>
      </c>
      <c r="V109" s="926"/>
      <c r="W109" s="983"/>
      <c r="X109" s="998"/>
      <c r="Y109" s="926"/>
      <c r="Z109" s="1018">
        <v>100</v>
      </c>
      <c r="AA109" s="992">
        <v>750</v>
      </c>
      <c r="AB109" s="993">
        <v>0.2</v>
      </c>
      <c r="AC109" s="988"/>
      <c r="AD109" s="989"/>
      <c r="AE109" s="988"/>
      <c r="AF109" s="989"/>
      <c r="AG109" s="988"/>
      <c r="AH109" s="989"/>
      <c r="AI109" s="988"/>
      <c r="AJ109" s="989"/>
      <c r="AK109" s="921"/>
      <c r="AL109" s="1019">
        <v>100</v>
      </c>
      <c r="AM109" s="1019">
        <v>100</v>
      </c>
      <c r="AN109" s="921"/>
      <c r="AO109" s="992">
        <v>750</v>
      </c>
      <c r="AP109" s="992">
        <v>4</v>
      </c>
      <c r="AQ109" s="1019"/>
      <c r="AR109" s="921"/>
      <c r="AS109" s="921"/>
      <c r="AT109" s="921"/>
      <c r="AU109" s="921"/>
      <c r="AV109" s="921"/>
      <c r="AW109" s="921"/>
      <c r="AX109" s="921"/>
      <c r="AY109" s="921"/>
      <c r="AZ109" s="921"/>
      <c r="BA109" s="921"/>
      <c r="BB109" s="921"/>
      <c r="BC109" s="921"/>
      <c r="BD109" s="921"/>
      <c r="BE109" s="921"/>
      <c r="BF109" s="921"/>
    </row>
    <row r="110" spans="1:58" ht="14.25" thickTop="1" thickBot="1">
      <c r="A110" s="958">
        <v>98</v>
      </c>
      <c r="B110" s="959">
        <v>5</v>
      </c>
      <c r="C110" s="1026" t="s">
        <v>1046</v>
      </c>
      <c r="D110" s="918">
        <v>1.4E-2</v>
      </c>
      <c r="E110" s="1037">
        <v>0.1135</v>
      </c>
      <c r="F110" s="1020">
        <v>0.1095</v>
      </c>
      <c r="G110" s="1032">
        <f t="shared" si="18"/>
        <v>1.4E-2</v>
      </c>
      <c r="H110" s="1027">
        <v>0.1105</v>
      </c>
      <c r="I110" s="1020">
        <v>0.1065</v>
      </c>
      <c r="J110" s="1033">
        <f t="shared" si="19"/>
        <v>1.4E-2</v>
      </c>
      <c r="K110" s="1028">
        <v>8.7800000000000003E-2</v>
      </c>
      <c r="L110" s="1020">
        <v>8.3799999999999999E-2</v>
      </c>
      <c r="M110" s="1034">
        <f t="shared" si="20"/>
        <v>1.4E-2</v>
      </c>
      <c r="N110" s="1028">
        <v>7.9699999999999993E-2</v>
      </c>
      <c r="O110" s="1023">
        <v>7.5700000000000003E-2</v>
      </c>
      <c r="P110" s="926"/>
      <c r="Q110" s="1035"/>
      <c r="R110" s="926"/>
      <c r="S110" s="1036">
        <f t="shared" si="21"/>
        <v>1.4E-2</v>
      </c>
      <c r="T110" s="1029">
        <v>7.9699999999999993E-2</v>
      </c>
      <c r="U110" s="1029">
        <v>7.5700000000000003E-2</v>
      </c>
      <c r="V110" s="926"/>
      <c r="W110" s="983"/>
      <c r="X110" s="998"/>
      <c r="Y110" s="926"/>
      <c r="Z110" s="1018">
        <v>100</v>
      </c>
      <c r="AA110" s="992">
        <v>750</v>
      </c>
      <c r="AB110" s="993">
        <v>0.2</v>
      </c>
      <c r="AC110" s="988"/>
      <c r="AD110" s="989"/>
      <c r="AE110" s="988"/>
      <c r="AF110" s="989"/>
      <c r="AG110" s="988"/>
      <c r="AH110" s="989"/>
      <c r="AI110" s="988"/>
      <c r="AJ110" s="989"/>
      <c r="AK110" s="921"/>
      <c r="AL110" s="1019">
        <v>100</v>
      </c>
      <c r="AM110" s="1019">
        <v>100</v>
      </c>
      <c r="AN110" s="921"/>
      <c r="AO110" s="992">
        <v>750</v>
      </c>
      <c r="AP110" s="992">
        <v>4</v>
      </c>
      <c r="AQ110" s="1019"/>
      <c r="AR110" s="921"/>
      <c r="AS110" s="921"/>
      <c r="AT110" s="921"/>
      <c r="AU110" s="921"/>
      <c r="AV110" s="921"/>
      <c r="AW110" s="921"/>
      <c r="AX110" s="921"/>
      <c r="AY110" s="921"/>
      <c r="AZ110" s="921"/>
      <c r="BA110" s="921"/>
      <c r="BB110" s="921"/>
      <c r="BC110" s="921"/>
      <c r="BD110" s="921"/>
      <c r="BE110" s="921"/>
      <c r="BF110" s="921"/>
    </row>
    <row r="111" spans="1:58" ht="14.25" thickTop="1" thickBot="1">
      <c r="A111" s="958">
        <v>99</v>
      </c>
      <c r="B111" s="959">
        <v>6</v>
      </c>
      <c r="C111" s="1026" t="s">
        <v>1047</v>
      </c>
      <c r="D111" s="918">
        <v>1.4E-2</v>
      </c>
      <c r="E111" s="1037">
        <v>0.1119</v>
      </c>
      <c r="F111" s="1020">
        <v>0.1079</v>
      </c>
      <c r="G111" s="1032">
        <f t="shared" si="18"/>
        <v>1.4E-2</v>
      </c>
      <c r="H111" s="1027">
        <v>0.109</v>
      </c>
      <c r="I111" s="1020">
        <v>0.105</v>
      </c>
      <c r="J111" s="1033">
        <f t="shared" si="19"/>
        <v>1.4E-2</v>
      </c>
      <c r="K111" s="1028">
        <v>8.6499999999999994E-2</v>
      </c>
      <c r="L111" s="1020">
        <v>8.2500000000000004E-2</v>
      </c>
      <c r="M111" s="1034">
        <f t="shared" si="20"/>
        <v>1.4E-2</v>
      </c>
      <c r="N111" s="1028">
        <v>7.85E-2</v>
      </c>
      <c r="O111" s="1023">
        <v>7.4499999999999997E-2</v>
      </c>
      <c r="P111" s="926"/>
      <c r="Q111" s="1035"/>
      <c r="R111" s="926"/>
      <c r="S111" s="1036">
        <f t="shared" si="21"/>
        <v>1.4E-2</v>
      </c>
      <c r="T111" s="1029">
        <v>7.85E-2</v>
      </c>
      <c r="U111" s="1029">
        <v>7.4499999999999997E-2</v>
      </c>
      <c r="V111" s="926"/>
      <c r="W111" s="983"/>
      <c r="X111" s="998"/>
      <c r="Y111" s="926"/>
      <c r="Z111" s="1018">
        <v>100</v>
      </c>
      <c r="AA111" s="992">
        <v>750</v>
      </c>
      <c r="AB111" s="993">
        <v>0.2</v>
      </c>
      <c r="AC111" s="988"/>
      <c r="AD111" s="989"/>
      <c r="AE111" s="988"/>
      <c r="AF111" s="989"/>
      <c r="AG111" s="988"/>
      <c r="AH111" s="989"/>
      <c r="AI111" s="988"/>
      <c r="AJ111" s="989"/>
      <c r="AK111" s="921"/>
      <c r="AL111" s="1019">
        <v>100</v>
      </c>
      <c r="AM111" s="1019">
        <v>100</v>
      </c>
      <c r="AN111" s="921"/>
      <c r="AO111" s="992">
        <v>750</v>
      </c>
      <c r="AP111" s="992">
        <v>4</v>
      </c>
      <c r="AQ111" s="1019"/>
      <c r="AR111" s="921"/>
      <c r="AS111" s="921"/>
      <c r="AT111" s="921"/>
      <c r="AU111" s="921"/>
      <c r="AV111" s="921"/>
      <c r="AW111" s="921"/>
      <c r="AX111" s="921"/>
      <c r="AY111" s="921"/>
      <c r="AZ111" s="921"/>
      <c r="BA111" s="921"/>
      <c r="BB111" s="921"/>
      <c r="BC111" s="921"/>
      <c r="BD111" s="921"/>
      <c r="BE111" s="921"/>
      <c r="BF111" s="921"/>
    </row>
    <row r="112" spans="1:58" ht="14.25" thickTop="1" thickBot="1">
      <c r="A112" s="958">
        <v>100</v>
      </c>
      <c r="B112" s="959">
        <v>7</v>
      </c>
      <c r="C112" s="1026" t="s">
        <v>1048</v>
      </c>
      <c r="D112" s="918">
        <v>1.4E-2</v>
      </c>
      <c r="E112" s="1037">
        <v>0.1104</v>
      </c>
      <c r="F112" s="1020">
        <v>0.10639999999999999</v>
      </c>
      <c r="G112" s="1032">
        <f t="shared" si="18"/>
        <v>1.4E-2</v>
      </c>
      <c r="H112" s="1027">
        <v>0.1074</v>
      </c>
      <c r="I112" s="1020">
        <v>0.10340000000000001</v>
      </c>
      <c r="J112" s="1033">
        <f t="shared" si="19"/>
        <v>1.4E-2</v>
      </c>
      <c r="K112" s="1028">
        <v>8.5300000000000001E-2</v>
      </c>
      <c r="L112" s="1020">
        <v>8.1299999999999997E-2</v>
      </c>
      <c r="M112" s="1034">
        <f t="shared" si="20"/>
        <v>1.4E-2</v>
      </c>
      <c r="N112" s="1028">
        <v>7.7399999999999997E-2</v>
      </c>
      <c r="O112" s="1023">
        <v>7.3400000000000007E-2</v>
      </c>
      <c r="P112" s="926"/>
      <c r="Q112" s="1035"/>
      <c r="R112" s="926"/>
      <c r="S112" s="1036">
        <f t="shared" si="21"/>
        <v>1.4E-2</v>
      </c>
      <c r="T112" s="1029">
        <v>7.7399999999999997E-2</v>
      </c>
      <c r="U112" s="1029">
        <v>7.3400000000000007E-2</v>
      </c>
      <c r="V112" s="926"/>
      <c r="W112" s="983"/>
      <c r="X112" s="998"/>
      <c r="Y112" s="926"/>
      <c r="Z112" s="1018">
        <v>100</v>
      </c>
      <c r="AA112" s="992">
        <v>750</v>
      </c>
      <c r="AB112" s="993">
        <v>0.2</v>
      </c>
      <c r="AC112" s="988"/>
      <c r="AD112" s="989"/>
      <c r="AE112" s="988"/>
      <c r="AF112" s="989"/>
      <c r="AG112" s="988"/>
      <c r="AH112" s="989"/>
      <c r="AI112" s="988"/>
      <c r="AJ112" s="989"/>
      <c r="AK112" s="921"/>
      <c r="AL112" s="1019">
        <v>100</v>
      </c>
      <c r="AM112" s="1019">
        <v>100</v>
      </c>
      <c r="AN112" s="921"/>
      <c r="AO112" s="992">
        <v>750</v>
      </c>
      <c r="AP112" s="992">
        <v>4</v>
      </c>
      <c r="AQ112" s="1019"/>
      <c r="AR112" s="921"/>
      <c r="AS112" s="921"/>
      <c r="AT112" s="921"/>
      <c r="AU112" s="921"/>
      <c r="AV112" s="921"/>
      <c r="AW112" s="921"/>
      <c r="AX112" s="921"/>
      <c r="AY112" s="921"/>
      <c r="AZ112" s="921"/>
      <c r="BA112" s="921"/>
      <c r="BB112" s="921"/>
      <c r="BC112" s="921"/>
      <c r="BD112" s="921"/>
      <c r="BE112" s="921"/>
      <c r="BF112" s="921"/>
    </row>
    <row r="113" spans="1:58" s="1082" customFormat="1" ht="14.25" thickTop="1" thickBot="1">
      <c r="A113" s="958">
        <v>101</v>
      </c>
      <c r="B113" s="959">
        <v>8</v>
      </c>
      <c r="C113" s="1026" t="s">
        <v>1054</v>
      </c>
      <c r="D113" s="918">
        <v>1.4E-2</v>
      </c>
      <c r="E113" s="1037">
        <v>0.10879999999999999</v>
      </c>
      <c r="F113" s="1020">
        <v>0.1048</v>
      </c>
      <c r="G113" s="1032">
        <f t="shared" si="18"/>
        <v>1.4E-2</v>
      </c>
      <c r="H113" s="1027">
        <v>0.10589999999999999</v>
      </c>
      <c r="I113" s="1020">
        <v>0.1019</v>
      </c>
      <c r="J113" s="1033">
        <f t="shared" si="19"/>
        <v>1.4E-2</v>
      </c>
      <c r="K113" s="1028">
        <v>8.4099999999999994E-2</v>
      </c>
      <c r="L113" s="1020">
        <v>8.0100000000000005E-2</v>
      </c>
      <c r="M113" s="1034">
        <f t="shared" si="20"/>
        <v>1.4E-2</v>
      </c>
      <c r="N113" s="1028">
        <v>7.6399999999999996E-2</v>
      </c>
      <c r="O113" s="1023">
        <v>7.2400000000000006E-2</v>
      </c>
      <c r="P113" s="926"/>
      <c r="Q113" s="1035"/>
      <c r="R113" s="926"/>
      <c r="S113" s="1036">
        <f t="shared" si="21"/>
        <v>1.4E-2</v>
      </c>
      <c r="T113" s="1029">
        <v>7.6399999999999996E-2</v>
      </c>
      <c r="U113" s="1029">
        <v>7.2400000000000006E-2</v>
      </c>
      <c r="V113" s="926"/>
      <c r="W113" s="983"/>
      <c r="X113" s="998"/>
      <c r="Y113" s="926"/>
      <c r="Z113" s="1018">
        <v>100</v>
      </c>
      <c r="AA113" s="992">
        <v>750</v>
      </c>
      <c r="AB113" s="993">
        <v>0.2</v>
      </c>
      <c r="AC113" s="988"/>
      <c r="AD113" s="989"/>
      <c r="AE113" s="988"/>
      <c r="AF113" s="989"/>
      <c r="AG113" s="988"/>
      <c r="AH113" s="989"/>
      <c r="AI113" s="988"/>
      <c r="AJ113" s="989"/>
      <c r="AK113" s="921"/>
      <c r="AL113" s="1019">
        <v>100</v>
      </c>
      <c r="AM113" s="1019">
        <v>100</v>
      </c>
      <c r="AN113" s="921"/>
      <c r="AO113" s="992">
        <v>750</v>
      </c>
      <c r="AP113" s="992">
        <v>4</v>
      </c>
      <c r="AQ113" s="1019"/>
      <c r="AR113" s="921"/>
      <c r="AS113" s="921"/>
      <c r="AT113" s="921"/>
      <c r="AU113" s="921"/>
      <c r="AV113" s="921"/>
      <c r="AW113" s="921"/>
      <c r="AX113" s="921"/>
      <c r="AY113" s="921"/>
      <c r="AZ113" s="921"/>
      <c r="BA113" s="921"/>
      <c r="BB113" s="921"/>
      <c r="BC113" s="921"/>
      <c r="BD113" s="921"/>
      <c r="BE113" s="921"/>
      <c r="BF113" s="921"/>
    </row>
    <row r="114" spans="1:58" s="1082" customFormat="1" ht="14.25" thickTop="1" thickBot="1">
      <c r="A114" s="958">
        <v>102</v>
      </c>
      <c r="B114" s="959">
        <v>9</v>
      </c>
      <c r="C114" s="1026" t="s">
        <v>1055</v>
      </c>
      <c r="D114" s="918">
        <v>1.4E-2</v>
      </c>
      <c r="E114" s="1037">
        <v>0.10730000000000001</v>
      </c>
      <c r="F114" s="1020">
        <v>0.1033</v>
      </c>
      <c r="G114" s="1032">
        <f t="shared" si="18"/>
        <v>1.4E-2</v>
      </c>
      <c r="H114" s="1027">
        <v>0.10440000000000001</v>
      </c>
      <c r="I114" s="1020">
        <v>0.1004</v>
      </c>
      <c r="J114" s="1033">
        <f t="shared" si="19"/>
        <v>1.4E-2</v>
      </c>
      <c r="K114" s="1028">
        <v>8.2900000000000001E-2</v>
      </c>
      <c r="L114" s="1020">
        <v>7.8899999999999998E-2</v>
      </c>
      <c r="M114" s="1034">
        <f t="shared" si="20"/>
        <v>1.4E-2</v>
      </c>
      <c r="N114" s="1028">
        <v>7.5300000000000006E-2</v>
      </c>
      <c r="O114" s="1023">
        <v>7.1300000000000002E-2</v>
      </c>
      <c r="P114" s="926"/>
      <c r="Q114" s="1035"/>
      <c r="R114" s="926"/>
      <c r="S114" s="1036">
        <f t="shared" si="21"/>
        <v>1.4E-2</v>
      </c>
      <c r="T114" s="1029">
        <v>7.5300000000000006E-2</v>
      </c>
      <c r="U114" s="1029">
        <v>7.1300000000000002E-2</v>
      </c>
      <c r="V114" s="926"/>
      <c r="W114" s="983"/>
      <c r="X114" s="998"/>
      <c r="Y114" s="926"/>
      <c r="Z114" s="1018">
        <v>100</v>
      </c>
      <c r="AA114" s="992">
        <v>750</v>
      </c>
      <c r="AB114" s="993">
        <v>0.2</v>
      </c>
      <c r="AC114" s="988"/>
      <c r="AD114" s="989"/>
      <c r="AE114" s="988"/>
      <c r="AF114" s="989"/>
      <c r="AG114" s="988"/>
      <c r="AH114" s="989"/>
      <c r="AI114" s="988"/>
      <c r="AJ114" s="989"/>
      <c r="AK114" s="921"/>
      <c r="AL114" s="1019">
        <v>100</v>
      </c>
      <c r="AM114" s="1019">
        <v>100</v>
      </c>
      <c r="AN114" s="921"/>
      <c r="AO114" s="992">
        <v>750</v>
      </c>
      <c r="AP114" s="992">
        <v>4</v>
      </c>
      <c r="AQ114" s="1019"/>
      <c r="AR114" s="921"/>
      <c r="AS114" s="921"/>
      <c r="AT114" s="921"/>
      <c r="AU114" s="921"/>
      <c r="AV114" s="921"/>
      <c r="AW114" s="921"/>
      <c r="AX114" s="921"/>
      <c r="AY114" s="921"/>
      <c r="AZ114" s="921"/>
      <c r="BA114" s="921"/>
      <c r="BB114" s="921"/>
      <c r="BC114" s="921"/>
      <c r="BD114" s="921"/>
      <c r="BE114" s="921"/>
      <c r="BF114" s="921"/>
    </row>
    <row r="115" spans="1:58" s="1082" customFormat="1" ht="14.25" thickTop="1" thickBot="1">
      <c r="A115" s="958">
        <v>103</v>
      </c>
      <c r="B115" s="959">
        <v>10</v>
      </c>
      <c r="C115" s="1026" t="s">
        <v>1056</v>
      </c>
      <c r="D115" s="918">
        <v>1.4E-2</v>
      </c>
      <c r="E115" s="1037">
        <v>0.10580000000000001</v>
      </c>
      <c r="F115" s="1020">
        <v>0.1018</v>
      </c>
      <c r="G115" s="1032">
        <f t="shared" si="18"/>
        <v>1.4E-2</v>
      </c>
      <c r="H115" s="1027">
        <v>0.10299999999999999</v>
      </c>
      <c r="I115" s="1020">
        <v>9.9000000000000005E-2</v>
      </c>
      <c r="J115" s="1033">
        <f t="shared" si="19"/>
        <v>1.4E-2</v>
      </c>
      <c r="K115" s="1028">
        <v>8.1799999999999998E-2</v>
      </c>
      <c r="L115" s="1020">
        <v>7.7799999999999994E-2</v>
      </c>
      <c r="M115" s="1034">
        <f t="shared" si="20"/>
        <v>1.4E-2</v>
      </c>
      <c r="N115" s="1028">
        <v>7.4200000000000002E-2</v>
      </c>
      <c r="O115" s="1023">
        <v>7.0199999999999999E-2</v>
      </c>
      <c r="P115" s="926"/>
      <c r="Q115" s="1035"/>
      <c r="R115" s="926"/>
      <c r="S115" s="1036">
        <f t="shared" si="21"/>
        <v>1.4E-2</v>
      </c>
      <c r="T115" s="1029">
        <v>7.4200000000000002E-2</v>
      </c>
      <c r="U115" s="1029">
        <v>7.0199999999999999E-2</v>
      </c>
      <c r="V115" s="926"/>
      <c r="W115" s="983"/>
      <c r="X115" s="998"/>
      <c r="Y115" s="926"/>
      <c r="Z115" s="1018">
        <v>100</v>
      </c>
      <c r="AA115" s="992">
        <v>750</v>
      </c>
      <c r="AB115" s="993">
        <v>0.2</v>
      </c>
      <c r="AC115" s="988"/>
      <c r="AD115" s="989"/>
      <c r="AE115" s="988"/>
      <c r="AF115" s="989"/>
      <c r="AG115" s="988"/>
      <c r="AH115" s="989"/>
      <c r="AI115" s="988"/>
      <c r="AJ115" s="989"/>
      <c r="AK115" s="921"/>
      <c r="AL115" s="1019">
        <v>100</v>
      </c>
      <c r="AM115" s="1019">
        <v>100</v>
      </c>
      <c r="AN115" s="921"/>
      <c r="AO115" s="992">
        <v>750</v>
      </c>
      <c r="AP115" s="992">
        <v>4</v>
      </c>
      <c r="AQ115" s="1019"/>
      <c r="AR115" s="921"/>
      <c r="AS115" s="921"/>
      <c r="AT115" s="921"/>
      <c r="AU115" s="921"/>
      <c r="AV115" s="921"/>
      <c r="AW115" s="921"/>
      <c r="AX115" s="921"/>
      <c r="AY115" s="921"/>
      <c r="AZ115" s="921"/>
      <c r="BA115" s="921"/>
      <c r="BB115" s="921"/>
      <c r="BC115" s="921"/>
      <c r="BD115" s="921"/>
      <c r="BE115" s="921"/>
      <c r="BF115" s="921"/>
    </row>
    <row r="116" spans="1:58" ht="14.25" thickTop="1" thickBot="1">
      <c r="A116" s="958">
        <v>104</v>
      </c>
      <c r="B116" s="959">
        <v>11</v>
      </c>
      <c r="C116" s="1026" t="s">
        <v>1058</v>
      </c>
      <c r="D116" s="918">
        <v>0.01</v>
      </c>
      <c r="E116" s="1037">
        <v>0.1048</v>
      </c>
      <c r="F116" s="1020">
        <v>0.1008</v>
      </c>
      <c r="G116" s="1032">
        <f t="shared" si="18"/>
        <v>0.01</v>
      </c>
      <c r="H116" s="1027">
        <v>0.1019</v>
      </c>
      <c r="I116" s="1020">
        <v>9.7900000000000001E-2</v>
      </c>
      <c r="J116" s="1033">
        <f t="shared" si="19"/>
        <v>0.01</v>
      </c>
      <c r="K116" s="1028">
        <v>8.1000000000000003E-2</v>
      </c>
      <c r="L116" s="1020">
        <v>7.6999999999999999E-2</v>
      </c>
      <c r="M116" s="1034">
        <f t="shared" si="20"/>
        <v>0.01</v>
      </c>
      <c r="N116" s="1028">
        <v>7.3499999999999996E-2</v>
      </c>
      <c r="O116" s="1023">
        <v>6.9500000000000006E-2</v>
      </c>
      <c r="P116" s="926"/>
      <c r="Q116" s="1035"/>
      <c r="R116" s="926"/>
      <c r="S116" s="1036">
        <f t="shared" si="21"/>
        <v>0.01</v>
      </c>
      <c r="T116" s="1029">
        <v>7.3499999999999996E-2</v>
      </c>
      <c r="U116" s="1029">
        <v>6.9500000000000006E-2</v>
      </c>
      <c r="V116" s="926"/>
      <c r="W116" s="983"/>
      <c r="X116" s="998"/>
      <c r="Y116" s="926"/>
      <c r="Z116" s="1018">
        <v>100</v>
      </c>
      <c r="AA116" s="992">
        <v>750</v>
      </c>
      <c r="AB116" s="993">
        <v>0.2</v>
      </c>
      <c r="AC116" s="988"/>
      <c r="AD116" s="989"/>
      <c r="AE116" s="988"/>
      <c r="AF116" s="989"/>
      <c r="AG116" s="988"/>
      <c r="AH116" s="989"/>
      <c r="AI116" s="988"/>
      <c r="AJ116" s="989"/>
      <c r="AK116" s="921"/>
      <c r="AL116" s="1019">
        <v>100</v>
      </c>
      <c r="AM116" s="1019">
        <v>100</v>
      </c>
      <c r="AN116" s="921"/>
      <c r="AO116" s="992">
        <v>750</v>
      </c>
      <c r="AP116" s="992">
        <v>4</v>
      </c>
      <c r="AQ116" s="1019"/>
      <c r="AR116" s="921"/>
      <c r="AS116" s="921"/>
      <c r="AT116" s="921"/>
      <c r="AU116" s="921"/>
      <c r="AV116" s="921"/>
      <c r="AW116" s="921"/>
      <c r="AX116" s="921"/>
      <c r="AY116" s="921"/>
      <c r="AZ116" s="921"/>
      <c r="BA116" s="921"/>
      <c r="BB116" s="921"/>
      <c r="BC116" s="921"/>
      <c r="BD116" s="921"/>
      <c r="BE116" s="921"/>
      <c r="BF116" s="921"/>
    </row>
    <row r="117" spans="1:58" ht="14.25" thickTop="1" thickBot="1">
      <c r="A117" s="958">
        <v>105</v>
      </c>
      <c r="B117" s="959">
        <v>12</v>
      </c>
      <c r="C117" s="1026" t="s">
        <v>1059</v>
      </c>
      <c r="D117" s="918">
        <v>0.01</v>
      </c>
      <c r="E117" s="1037">
        <v>0.1037</v>
      </c>
      <c r="F117" s="1020">
        <v>9.9699999999999997E-2</v>
      </c>
      <c r="G117" s="1032">
        <f t="shared" si="18"/>
        <v>0.01</v>
      </c>
      <c r="H117" s="1027">
        <v>0.1009</v>
      </c>
      <c r="I117" s="1020">
        <v>9.69E-2</v>
      </c>
      <c r="J117" s="1033">
        <f t="shared" si="19"/>
        <v>0.01</v>
      </c>
      <c r="K117" s="1028">
        <v>8.0199999999999994E-2</v>
      </c>
      <c r="L117" s="1020">
        <v>7.6200000000000004E-2</v>
      </c>
      <c r="M117" s="1034">
        <f t="shared" si="20"/>
        <v>0.01</v>
      </c>
      <c r="N117" s="1028">
        <v>7.2800000000000004E-2</v>
      </c>
      <c r="O117" s="1023">
        <v>6.88E-2</v>
      </c>
      <c r="P117" s="926"/>
      <c r="Q117" s="1035"/>
      <c r="R117" s="926"/>
      <c r="S117" s="1036">
        <f t="shared" si="21"/>
        <v>0.01</v>
      </c>
      <c r="T117" s="1029">
        <v>7.2800000000000004E-2</v>
      </c>
      <c r="U117" s="1029">
        <v>6.88E-2</v>
      </c>
      <c r="V117" s="926"/>
      <c r="W117" s="983"/>
      <c r="X117" s="998"/>
      <c r="Y117" s="926"/>
      <c r="Z117" s="1018">
        <v>100</v>
      </c>
      <c r="AA117" s="992">
        <v>750</v>
      </c>
      <c r="AB117" s="993">
        <v>0.2</v>
      </c>
      <c r="AC117" s="988"/>
      <c r="AD117" s="989"/>
      <c r="AE117" s="988"/>
      <c r="AF117" s="989"/>
      <c r="AG117" s="988"/>
      <c r="AH117" s="989"/>
      <c r="AI117" s="988"/>
      <c r="AJ117" s="989"/>
      <c r="AK117" s="921"/>
      <c r="AL117" s="1019">
        <v>100</v>
      </c>
      <c r="AM117" s="1019">
        <v>100</v>
      </c>
      <c r="AN117" s="921"/>
      <c r="AO117" s="992">
        <v>750</v>
      </c>
      <c r="AP117" s="992">
        <v>4</v>
      </c>
      <c r="AQ117" s="1019"/>
      <c r="AR117" s="921"/>
      <c r="AS117" s="921"/>
      <c r="AT117" s="921"/>
      <c r="AU117" s="921"/>
      <c r="AV117" s="921"/>
      <c r="AW117" s="921"/>
      <c r="AX117" s="921"/>
      <c r="AY117" s="921"/>
      <c r="AZ117" s="921"/>
      <c r="BA117" s="921"/>
      <c r="BB117" s="921"/>
      <c r="BC117" s="921"/>
      <c r="BD117" s="921"/>
      <c r="BE117" s="921"/>
      <c r="BF117" s="921"/>
    </row>
    <row r="118" spans="1:58" ht="14.25" thickTop="1" thickBot="1">
      <c r="A118" s="958">
        <v>106</v>
      </c>
      <c r="B118" s="959">
        <v>1</v>
      </c>
      <c r="C118" s="1026" t="s">
        <v>1014</v>
      </c>
      <c r="D118" s="918">
        <v>0.01</v>
      </c>
      <c r="E118" s="1037">
        <v>0.1027</v>
      </c>
      <c r="F118" s="1020">
        <v>9.8699999999999996E-2</v>
      </c>
      <c r="G118" s="1032">
        <f t="shared" si="18"/>
        <v>0.01</v>
      </c>
      <c r="H118" s="1027">
        <v>9.9900000000000003E-2</v>
      </c>
      <c r="I118" s="1020">
        <v>9.5899999999999999E-2</v>
      </c>
      <c r="J118" s="1033">
        <f t="shared" si="19"/>
        <v>0.01</v>
      </c>
      <c r="K118" s="1028">
        <v>7.9399999999999998E-2</v>
      </c>
      <c r="L118" s="1020">
        <v>7.5399999999999995E-2</v>
      </c>
      <c r="M118" s="1034">
        <f t="shared" si="20"/>
        <v>0.01</v>
      </c>
      <c r="N118" s="1028">
        <v>7.1999999999999995E-2</v>
      </c>
      <c r="O118" s="1023">
        <v>6.8000000000000005E-2</v>
      </c>
      <c r="P118" s="926"/>
      <c r="Q118" s="1035"/>
      <c r="R118" s="926"/>
      <c r="S118" s="1036">
        <f t="shared" si="21"/>
        <v>0.01</v>
      </c>
      <c r="T118" s="1029">
        <v>7.1999999999999995E-2</v>
      </c>
      <c r="U118" s="1029">
        <v>6.8000000000000005E-2</v>
      </c>
      <c r="V118" s="926"/>
      <c r="W118" s="983"/>
      <c r="X118" s="998"/>
      <c r="Y118" s="926"/>
      <c r="Z118" s="1018">
        <v>100</v>
      </c>
      <c r="AA118" s="992">
        <v>750</v>
      </c>
      <c r="AB118" s="993">
        <v>0.2</v>
      </c>
      <c r="AC118" s="988"/>
      <c r="AD118" s="989"/>
      <c r="AE118" s="988"/>
      <c r="AF118" s="989"/>
      <c r="AG118" s="988"/>
      <c r="AH118" s="989"/>
      <c r="AI118" s="988"/>
      <c r="AJ118" s="989"/>
      <c r="AK118" s="921"/>
      <c r="AL118" s="1019">
        <v>100</v>
      </c>
      <c r="AM118" s="1019">
        <v>100</v>
      </c>
      <c r="AN118" s="921"/>
      <c r="AO118" s="992">
        <v>750</v>
      </c>
      <c r="AP118" s="992">
        <v>4</v>
      </c>
      <c r="AQ118" s="1019"/>
      <c r="AR118" s="921"/>
      <c r="AS118" s="921"/>
      <c r="AT118" s="921"/>
      <c r="AU118" s="921"/>
      <c r="AV118" s="921"/>
      <c r="AW118" s="921"/>
      <c r="AX118" s="921"/>
      <c r="AY118" s="921"/>
      <c r="AZ118" s="921"/>
      <c r="BA118" s="921"/>
      <c r="BB118" s="921"/>
      <c r="BC118" s="921"/>
      <c r="BD118" s="921"/>
      <c r="BE118" s="921"/>
      <c r="BF118" s="921"/>
    </row>
    <row r="119" spans="1:58" ht="14.25" thickTop="1" thickBot="1">
      <c r="A119" s="958">
        <v>107</v>
      </c>
      <c r="B119" s="959">
        <v>2</v>
      </c>
      <c r="C119" s="1026" t="s">
        <v>1061</v>
      </c>
      <c r="D119" s="918">
        <v>1.4E-2</v>
      </c>
      <c r="E119" s="1037">
        <v>0.1012</v>
      </c>
      <c r="F119" s="1020">
        <v>9.7199999999999995E-2</v>
      </c>
      <c r="G119" s="1032">
        <f t="shared" si="18"/>
        <v>1.4E-2</v>
      </c>
      <c r="H119" s="1027">
        <v>9.8500000000000004E-2</v>
      </c>
      <c r="I119" s="1020">
        <v>9.4500000000000001E-2</v>
      </c>
      <c r="J119" s="1033">
        <f t="shared" si="19"/>
        <v>1.4E-2</v>
      </c>
      <c r="K119" s="1028">
        <v>7.8200000000000006E-2</v>
      </c>
      <c r="L119" s="1020">
        <v>7.4200000000000002E-2</v>
      </c>
      <c r="M119" s="1034">
        <f t="shared" si="20"/>
        <v>1.4E-2</v>
      </c>
      <c r="N119" s="1028">
        <v>7.0999999999999994E-2</v>
      </c>
      <c r="O119" s="1023">
        <v>6.7000000000000004E-2</v>
      </c>
      <c r="P119" s="926"/>
      <c r="Q119" s="1035"/>
      <c r="R119" s="926"/>
      <c r="S119" s="1036">
        <f t="shared" si="21"/>
        <v>1.4E-2</v>
      </c>
      <c r="T119" s="1029">
        <v>7.0999999999999994E-2</v>
      </c>
      <c r="U119" s="1029">
        <v>6.7000000000000004E-2</v>
      </c>
      <c r="V119" s="926"/>
      <c r="W119" s="983"/>
      <c r="X119" s="998"/>
      <c r="Y119" s="926"/>
      <c r="Z119" s="1018">
        <v>100</v>
      </c>
      <c r="AA119" s="992">
        <v>750</v>
      </c>
      <c r="AB119" s="993">
        <v>0.2</v>
      </c>
      <c r="AC119" s="988"/>
      <c r="AD119" s="989"/>
      <c r="AE119" s="988"/>
      <c r="AF119" s="989"/>
      <c r="AG119" s="988"/>
      <c r="AH119" s="989"/>
      <c r="AI119" s="988"/>
      <c r="AJ119" s="989"/>
      <c r="AK119" s="921"/>
      <c r="AL119" s="1019">
        <v>100</v>
      </c>
      <c r="AM119" s="1019">
        <v>100</v>
      </c>
      <c r="AN119" s="921"/>
      <c r="AO119" s="992">
        <v>750</v>
      </c>
      <c r="AP119" s="992">
        <v>4</v>
      </c>
      <c r="AQ119" s="1019"/>
      <c r="AR119" s="921"/>
      <c r="AS119" s="921"/>
      <c r="AT119" s="921"/>
      <c r="AU119" s="921"/>
      <c r="AV119" s="921"/>
      <c r="AW119" s="921"/>
      <c r="AX119" s="921"/>
      <c r="AY119" s="921"/>
      <c r="AZ119" s="921"/>
      <c r="BA119" s="921"/>
      <c r="BB119" s="921"/>
      <c r="BC119" s="921"/>
      <c r="BD119" s="921"/>
      <c r="BE119" s="921"/>
      <c r="BF119" s="921"/>
    </row>
    <row r="120" spans="1:58" ht="14.25" thickTop="1" thickBot="1">
      <c r="A120" s="958">
        <v>108</v>
      </c>
      <c r="B120" s="959">
        <v>3</v>
      </c>
      <c r="C120" s="1026" t="s">
        <v>1062</v>
      </c>
      <c r="D120" s="918">
        <v>1.4E-2</v>
      </c>
      <c r="E120" s="1037">
        <v>9.98E-2</v>
      </c>
      <c r="F120" s="1020">
        <v>9.5799999999999996E-2</v>
      </c>
      <c r="G120" s="1032">
        <f t="shared" si="18"/>
        <v>1.4E-2</v>
      </c>
      <c r="H120" s="1027">
        <v>9.7100000000000006E-2</v>
      </c>
      <c r="I120" s="1020">
        <v>9.3100000000000002E-2</v>
      </c>
      <c r="J120" s="1033">
        <f t="shared" si="19"/>
        <v>1.4E-2</v>
      </c>
      <c r="K120" s="1028">
        <v>7.7100000000000002E-2</v>
      </c>
      <c r="L120" s="1020">
        <v>7.3099999999999998E-2</v>
      </c>
      <c r="M120" s="1034">
        <f t="shared" si="20"/>
        <v>1.4E-2</v>
      </c>
      <c r="N120" s="1028">
        <v>7.0000000000000007E-2</v>
      </c>
      <c r="O120" s="1023">
        <v>6.6000000000000003E-2</v>
      </c>
      <c r="P120" s="926"/>
      <c r="Q120" s="1035"/>
      <c r="R120" s="926"/>
      <c r="S120" s="1036">
        <f t="shared" si="21"/>
        <v>1.4E-2</v>
      </c>
      <c r="T120" s="1029">
        <v>7.0000000000000007E-2</v>
      </c>
      <c r="U120" s="1029">
        <v>6.6000000000000003E-2</v>
      </c>
      <c r="V120" s="926"/>
      <c r="W120" s="983"/>
      <c r="X120" s="998"/>
      <c r="Y120" s="926"/>
      <c r="Z120" s="1018">
        <v>100</v>
      </c>
      <c r="AA120" s="992">
        <v>750</v>
      </c>
      <c r="AB120" s="993">
        <v>0.2</v>
      </c>
      <c r="AC120" s="988"/>
      <c r="AD120" s="989"/>
      <c r="AE120" s="988"/>
      <c r="AF120" s="989"/>
      <c r="AG120" s="988"/>
      <c r="AH120" s="989"/>
      <c r="AI120" s="988"/>
      <c r="AJ120" s="989"/>
      <c r="AK120" s="921"/>
      <c r="AL120" s="1019">
        <v>100</v>
      </c>
      <c r="AM120" s="1019">
        <v>100</v>
      </c>
      <c r="AN120" s="921"/>
      <c r="AO120" s="992">
        <v>750</v>
      </c>
      <c r="AP120" s="992">
        <v>4</v>
      </c>
      <c r="AQ120" s="1019"/>
      <c r="AR120" s="921"/>
      <c r="AS120" s="921"/>
      <c r="AT120" s="921"/>
      <c r="AU120" s="921"/>
      <c r="AV120" s="921"/>
      <c r="AW120" s="921"/>
      <c r="AX120" s="921"/>
      <c r="AY120" s="921"/>
      <c r="AZ120" s="921"/>
      <c r="BA120" s="921"/>
      <c r="BB120" s="921"/>
      <c r="BC120" s="921"/>
      <c r="BD120" s="921"/>
      <c r="BE120" s="921"/>
      <c r="BF120" s="921"/>
    </row>
    <row r="121" spans="1:58" ht="14.25" thickTop="1" thickBot="1">
      <c r="A121" s="958">
        <v>109</v>
      </c>
      <c r="B121" s="959">
        <v>4</v>
      </c>
      <c r="C121" s="1026" t="s">
        <v>1063</v>
      </c>
      <c r="D121" s="918">
        <v>1.4E-2</v>
      </c>
      <c r="E121" s="1037">
        <v>9.8400000000000001E-2</v>
      </c>
      <c r="F121" s="1020">
        <v>9.4399999999999998E-2</v>
      </c>
      <c r="G121" s="1032">
        <f t="shared" si="18"/>
        <v>1.4E-2</v>
      </c>
      <c r="H121" s="1027">
        <v>9.5799999999999996E-2</v>
      </c>
      <c r="I121" s="1020">
        <v>9.1800000000000007E-2</v>
      </c>
      <c r="J121" s="1033">
        <f t="shared" si="19"/>
        <v>1.4E-2</v>
      </c>
      <c r="K121" s="1028">
        <v>7.6100000000000001E-2</v>
      </c>
      <c r="L121" s="1020">
        <v>7.2099999999999997E-2</v>
      </c>
      <c r="M121" s="1034">
        <f t="shared" si="20"/>
        <v>1.4E-2</v>
      </c>
      <c r="N121" s="1028">
        <v>6.9000000000000006E-2</v>
      </c>
      <c r="O121" s="1023">
        <v>6.5000000000000002E-2</v>
      </c>
      <c r="P121" s="926"/>
      <c r="Q121" s="1035"/>
      <c r="R121" s="926"/>
      <c r="S121" s="1036">
        <f t="shared" si="21"/>
        <v>1.4E-2</v>
      </c>
      <c r="T121" s="1029">
        <v>6.9000000000000006E-2</v>
      </c>
      <c r="U121" s="1029">
        <v>6.5000000000000002E-2</v>
      </c>
      <c r="V121" s="926"/>
      <c r="W121" s="983"/>
      <c r="X121" s="998"/>
      <c r="Y121" s="926"/>
      <c r="Z121" s="1018">
        <v>100</v>
      </c>
      <c r="AA121" s="992">
        <v>750</v>
      </c>
      <c r="AB121" s="993">
        <v>0.2</v>
      </c>
      <c r="AC121" s="988"/>
      <c r="AD121" s="989"/>
      <c r="AE121" s="988"/>
      <c r="AF121" s="989"/>
      <c r="AG121" s="988"/>
      <c r="AH121" s="989"/>
      <c r="AI121" s="988"/>
      <c r="AJ121" s="989"/>
      <c r="AK121" s="921"/>
      <c r="AL121" s="1019">
        <v>100</v>
      </c>
      <c r="AM121" s="1019">
        <v>100</v>
      </c>
      <c r="AN121" s="921"/>
      <c r="AO121" s="992">
        <v>750</v>
      </c>
      <c r="AP121" s="992">
        <v>4</v>
      </c>
      <c r="AQ121" s="1019"/>
      <c r="AR121" s="921"/>
      <c r="AS121" s="921"/>
      <c r="AT121" s="921"/>
      <c r="AU121" s="921"/>
      <c r="AV121" s="921"/>
      <c r="AW121" s="921"/>
      <c r="AX121" s="921"/>
      <c r="AY121" s="921"/>
      <c r="AZ121" s="921"/>
      <c r="BA121" s="921"/>
      <c r="BB121" s="921"/>
      <c r="BC121" s="921"/>
      <c r="BD121" s="921"/>
      <c r="BE121" s="921"/>
      <c r="BF121" s="921"/>
    </row>
    <row r="122" spans="1:58" ht="14.25" thickTop="1" thickBot="1">
      <c r="A122" s="958">
        <v>110</v>
      </c>
      <c r="B122" s="959">
        <v>5</v>
      </c>
      <c r="C122" s="1026" t="s">
        <v>1066</v>
      </c>
      <c r="D122" s="918">
        <v>1.4E-2</v>
      </c>
      <c r="E122" s="1037">
        <v>9.7000000000000003E-2</v>
      </c>
      <c r="F122" s="1020">
        <v>9.2999999999999999E-2</v>
      </c>
      <c r="G122" s="1032">
        <f t="shared" si="18"/>
        <v>1.4E-2</v>
      </c>
      <c r="H122" s="1027">
        <v>9.4399999999999998E-2</v>
      </c>
      <c r="I122" s="1020">
        <v>9.0399999999999994E-2</v>
      </c>
      <c r="J122" s="1033">
        <f t="shared" si="19"/>
        <v>1.4E-2</v>
      </c>
      <c r="K122" s="1028">
        <v>7.4999999999999997E-2</v>
      </c>
      <c r="L122" s="1020">
        <v>7.0999999999999994E-2</v>
      </c>
      <c r="M122" s="1034">
        <f t="shared" si="20"/>
        <v>1.4E-2</v>
      </c>
      <c r="N122" s="1028">
        <v>6.8099999999999994E-2</v>
      </c>
      <c r="O122" s="1023">
        <v>6.4100000000000004E-2</v>
      </c>
      <c r="P122" s="926"/>
      <c r="Q122" s="1035"/>
      <c r="R122" s="926"/>
      <c r="S122" s="1036">
        <f t="shared" si="21"/>
        <v>1.4E-2</v>
      </c>
      <c r="T122" s="1028">
        <v>6.8099999999999994E-2</v>
      </c>
      <c r="U122" s="1029">
        <v>6.4100000000000004E-2</v>
      </c>
      <c r="V122" s="926"/>
      <c r="W122" s="983"/>
      <c r="X122" s="998"/>
      <c r="Y122" s="926"/>
      <c r="Z122" s="1018">
        <v>100</v>
      </c>
      <c r="AA122" s="992">
        <v>750</v>
      </c>
      <c r="AB122" s="993">
        <v>0.2</v>
      </c>
      <c r="AC122" s="988"/>
      <c r="AD122" s="989"/>
      <c r="AE122" s="988"/>
      <c r="AF122" s="989"/>
      <c r="AG122" s="988"/>
      <c r="AH122" s="989"/>
      <c r="AI122" s="988"/>
      <c r="AJ122" s="989"/>
      <c r="AK122" s="921"/>
      <c r="AL122" s="1019">
        <v>100</v>
      </c>
      <c r="AM122" s="1019">
        <v>100</v>
      </c>
      <c r="AN122" s="921"/>
      <c r="AO122" s="992">
        <v>750</v>
      </c>
      <c r="AP122" s="992">
        <v>4</v>
      </c>
      <c r="AQ122" s="1019"/>
      <c r="AR122" s="921"/>
      <c r="AS122" s="921"/>
      <c r="AT122" s="921"/>
      <c r="AU122" s="921"/>
      <c r="AV122" s="921"/>
      <c r="AW122" s="921"/>
      <c r="AX122" s="921"/>
      <c r="AY122" s="921"/>
      <c r="AZ122" s="921"/>
      <c r="BA122" s="921"/>
      <c r="BB122" s="921"/>
      <c r="BC122" s="921"/>
      <c r="BD122" s="921"/>
      <c r="BE122" s="921"/>
      <c r="BF122" s="921"/>
    </row>
    <row r="123" spans="1:58" ht="14.25" thickTop="1" thickBot="1">
      <c r="A123" s="958">
        <v>111</v>
      </c>
      <c r="B123" s="959">
        <v>6</v>
      </c>
      <c r="C123" s="1026" t="s">
        <v>1067</v>
      </c>
      <c r="D123" s="918">
        <v>1.4E-2</v>
      </c>
      <c r="E123" s="1037">
        <v>9.5699999999999993E-2</v>
      </c>
      <c r="F123" s="1020">
        <v>9.1700000000000004E-2</v>
      </c>
      <c r="G123" s="1032">
        <f t="shared" si="18"/>
        <v>1.4E-2</v>
      </c>
      <c r="H123" s="1027">
        <v>9.3100000000000002E-2</v>
      </c>
      <c r="I123" s="1020">
        <v>8.9099999999999999E-2</v>
      </c>
      <c r="J123" s="1033">
        <f t="shared" si="19"/>
        <v>1.4E-2</v>
      </c>
      <c r="K123" s="1028">
        <v>7.3999999999999996E-2</v>
      </c>
      <c r="L123" s="1020">
        <v>7.0000000000000007E-2</v>
      </c>
      <c r="M123" s="1034">
        <f t="shared" si="20"/>
        <v>1.4E-2</v>
      </c>
      <c r="N123" s="1028">
        <v>6.7100000000000007E-2</v>
      </c>
      <c r="O123" s="1023">
        <v>6.3100000000000003E-2</v>
      </c>
      <c r="P123" s="926"/>
      <c r="Q123" s="1035"/>
      <c r="R123" s="926"/>
      <c r="S123" s="1036">
        <f t="shared" si="21"/>
        <v>1.4E-2</v>
      </c>
      <c r="T123" s="1028">
        <v>6.7100000000000007E-2</v>
      </c>
      <c r="U123" s="1029">
        <v>6.3100000000000003E-2</v>
      </c>
      <c r="V123" s="926"/>
      <c r="W123" s="983"/>
      <c r="X123" s="998"/>
      <c r="Y123" s="926"/>
      <c r="Z123" s="1018">
        <v>100</v>
      </c>
      <c r="AA123" s="992">
        <v>750</v>
      </c>
      <c r="AB123" s="993">
        <v>0.2</v>
      </c>
      <c r="AC123" s="988"/>
      <c r="AD123" s="989"/>
      <c r="AE123" s="988"/>
      <c r="AF123" s="989"/>
      <c r="AG123" s="988"/>
      <c r="AH123" s="989"/>
      <c r="AI123" s="988"/>
      <c r="AJ123" s="989"/>
      <c r="AK123" s="921"/>
      <c r="AL123" s="1019">
        <v>100</v>
      </c>
      <c r="AM123" s="1019">
        <v>100</v>
      </c>
      <c r="AN123" s="921"/>
      <c r="AO123" s="992">
        <v>750</v>
      </c>
      <c r="AP123" s="992">
        <v>4</v>
      </c>
      <c r="AQ123" s="1019"/>
      <c r="AR123" s="921"/>
      <c r="AS123" s="921"/>
      <c r="AT123" s="921"/>
      <c r="AU123" s="921"/>
      <c r="AV123" s="921"/>
      <c r="AW123" s="921"/>
      <c r="AX123" s="921"/>
      <c r="AY123" s="921"/>
      <c r="AZ123" s="921"/>
      <c r="BA123" s="921"/>
      <c r="BB123" s="921"/>
      <c r="BC123" s="921"/>
      <c r="BD123" s="921"/>
      <c r="BE123" s="921"/>
      <c r="BF123" s="921"/>
    </row>
    <row r="124" spans="1:58" ht="14.25" thickTop="1" thickBot="1">
      <c r="A124" s="958">
        <v>112</v>
      </c>
      <c r="B124" s="959">
        <v>7</v>
      </c>
      <c r="C124" s="1026" t="s">
        <v>1068</v>
      </c>
      <c r="D124" s="918">
        <v>1.4E-2</v>
      </c>
      <c r="E124" s="1037">
        <v>9.4299999999999995E-2</v>
      </c>
      <c r="F124" s="1020">
        <v>9.0300000000000005E-2</v>
      </c>
      <c r="G124" s="1032">
        <f t="shared" si="18"/>
        <v>1.4E-2</v>
      </c>
      <c r="H124" s="1027">
        <v>9.1800000000000007E-2</v>
      </c>
      <c r="I124" s="1020">
        <v>8.7800000000000003E-2</v>
      </c>
      <c r="J124" s="1033">
        <f t="shared" si="19"/>
        <v>1.4E-2</v>
      </c>
      <c r="K124" s="1028">
        <v>7.2900000000000006E-2</v>
      </c>
      <c r="L124" s="1020">
        <v>6.8900000000000003E-2</v>
      </c>
      <c r="M124" s="1034">
        <f t="shared" si="20"/>
        <v>1.4E-2</v>
      </c>
      <c r="N124" s="1028">
        <v>6.6199999999999995E-2</v>
      </c>
      <c r="O124" s="1023">
        <v>6.2199999999999998E-2</v>
      </c>
      <c r="P124" s="926"/>
      <c r="Q124" s="1035"/>
      <c r="R124" s="926"/>
      <c r="S124" s="1036">
        <f t="shared" si="21"/>
        <v>1.4E-2</v>
      </c>
      <c r="T124" s="1028">
        <v>6.6199999999999995E-2</v>
      </c>
      <c r="U124" s="1029">
        <v>6.2199999999999998E-2</v>
      </c>
      <c r="V124" s="926"/>
      <c r="W124" s="983"/>
      <c r="X124" s="998"/>
      <c r="Y124" s="926"/>
      <c r="Z124" s="1018">
        <v>100</v>
      </c>
      <c r="AA124" s="992">
        <v>750</v>
      </c>
      <c r="AB124" s="993">
        <v>0.2</v>
      </c>
      <c r="AC124" s="988"/>
      <c r="AD124" s="989"/>
      <c r="AE124" s="988"/>
      <c r="AF124" s="989"/>
      <c r="AG124" s="988"/>
      <c r="AH124" s="989"/>
      <c r="AI124" s="988"/>
      <c r="AJ124" s="989"/>
      <c r="AK124" s="921"/>
      <c r="AL124" s="1019">
        <v>100</v>
      </c>
      <c r="AM124" s="1019">
        <v>100</v>
      </c>
      <c r="AN124" s="921"/>
      <c r="AO124" s="992">
        <v>750</v>
      </c>
      <c r="AP124" s="992">
        <v>4</v>
      </c>
      <c r="AQ124" s="1019"/>
      <c r="AR124" s="921"/>
      <c r="AS124" s="921"/>
      <c r="AT124" s="921"/>
      <c r="AU124" s="921"/>
      <c r="AV124" s="921"/>
      <c r="AW124" s="921"/>
      <c r="AX124" s="921"/>
      <c r="AY124" s="921"/>
      <c r="AZ124" s="921"/>
      <c r="BA124" s="921"/>
      <c r="BB124" s="921"/>
      <c r="BC124" s="921"/>
      <c r="BD124" s="921"/>
      <c r="BE124" s="921"/>
      <c r="BF124" s="921"/>
    </row>
    <row r="125" spans="1:58" ht="14.25" thickTop="1" thickBot="1">
      <c r="A125" s="958">
        <v>113</v>
      </c>
      <c r="B125" s="959">
        <v>8</v>
      </c>
      <c r="C125" s="1026" t="s">
        <v>1069</v>
      </c>
      <c r="D125" s="918">
        <v>1.4E-2</v>
      </c>
      <c r="E125" s="1037">
        <v>9.2999999999999999E-2</v>
      </c>
      <c r="F125" s="1020">
        <v>8.8999999999999996E-2</v>
      </c>
      <c r="G125" s="1032">
        <f t="shared" si="18"/>
        <v>1.4E-2</v>
      </c>
      <c r="H125" s="1027">
        <v>9.0499999999999997E-2</v>
      </c>
      <c r="I125" s="1020">
        <v>8.6499999999999994E-2</v>
      </c>
      <c r="J125" s="1033">
        <f t="shared" si="19"/>
        <v>1.4E-2</v>
      </c>
      <c r="K125" s="1028">
        <v>7.1900000000000006E-2</v>
      </c>
      <c r="L125" s="1020">
        <v>6.7900000000000002E-2</v>
      </c>
      <c r="M125" s="1034">
        <f t="shared" si="20"/>
        <v>1.4E-2</v>
      </c>
      <c r="N125" s="1028">
        <v>6.5299999999999997E-2</v>
      </c>
      <c r="O125" s="1023">
        <v>6.13E-2</v>
      </c>
      <c r="P125" s="926"/>
      <c r="Q125" s="1035"/>
      <c r="R125" s="926"/>
      <c r="S125" s="1036">
        <f t="shared" si="21"/>
        <v>1.4E-2</v>
      </c>
      <c r="T125" s="1029">
        <v>6.5299999999999997E-2</v>
      </c>
      <c r="U125" s="1029">
        <v>6.13E-2</v>
      </c>
      <c r="V125" s="926"/>
      <c r="W125" s="983"/>
      <c r="X125" s="998"/>
      <c r="Y125" s="926"/>
      <c r="Z125" s="1018">
        <v>100</v>
      </c>
      <c r="AA125" s="992">
        <v>750</v>
      </c>
      <c r="AB125" s="993">
        <v>0.2</v>
      </c>
      <c r="AC125" s="988"/>
      <c r="AD125" s="989"/>
      <c r="AE125" s="988"/>
      <c r="AF125" s="989"/>
      <c r="AG125" s="988"/>
      <c r="AH125" s="989"/>
      <c r="AI125" s="988"/>
      <c r="AJ125" s="989"/>
      <c r="AK125" s="921"/>
      <c r="AL125" s="1019">
        <v>100</v>
      </c>
      <c r="AM125" s="1019">
        <v>100</v>
      </c>
      <c r="AN125" s="921"/>
      <c r="AO125" s="992">
        <v>750</v>
      </c>
      <c r="AP125" s="992">
        <v>4</v>
      </c>
      <c r="AQ125" s="1019"/>
      <c r="AR125" s="921"/>
      <c r="AS125" s="921"/>
      <c r="AT125" s="921"/>
      <c r="AU125" s="921"/>
      <c r="AV125" s="921"/>
      <c r="AW125" s="921"/>
      <c r="AX125" s="921"/>
      <c r="AY125" s="921"/>
      <c r="AZ125" s="921"/>
      <c r="BA125" s="921"/>
      <c r="BB125" s="921"/>
      <c r="BC125" s="921"/>
      <c r="BD125" s="921"/>
      <c r="BE125" s="921"/>
      <c r="BF125" s="921"/>
    </row>
    <row r="126" spans="1:58" ht="14.25" thickTop="1" thickBot="1">
      <c r="A126" s="958">
        <v>114</v>
      </c>
      <c r="B126" s="959">
        <v>9</v>
      </c>
      <c r="C126" s="1026" t="s">
        <v>1070</v>
      </c>
      <c r="D126" s="918">
        <v>1.4E-2</v>
      </c>
      <c r="E126" s="1037">
        <v>9.1700000000000004E-2</v>
      </c>
      <c r="F126" s="1020">
        <v>8.77E-2</v>
      </c>
      <c r="G126" s="1032">
        <f t="shared" si="18"/>
        <v>1.4E-2</v>
      </c>
      <c r="H126" s="1027">
        <v>8.9300000000000004E-2</v>
      </c>
      <c r="I126" s="1020">
        <v>8.5300000000000001E-2</v>
      </c>
      <c r="J126" s="1033">
        <f t="shared" si="19"/>
        <v>1.4E-2</v>
      </c>
      <c r="K126" s="1028">
        <v>7.0900000000000005E-2</v>
      </c>
      <c r="L126" s="1020">
        <v>6.6900000000000001E-2</v>
      </c>
      <c r="M126" s="1034">
        <f t="shared" si="20"/>
        <v>1.4E-2</v>
      </c>
      <c r="N126" s="1028">
        <v>6.4299999999999996E-2</v>
      </c>
      <c r="O126" s="1023">
        <v>6.0299999999999999E-2</v>
      </c>
      <c r="P126" s="926"/>
      <c r="Q126" s="1035"/>
      <c r="R126" s="926"/>
      <c r="S126" s="1036">
        <f t="shared" si="21"/>
        <v>1.4E-2</v>
      </c>
      <c r="T126" s="1029">
        <v>6.4299999999999996E-2</v>
      </c>
      <c r="U126" s="1029">
        <v>6.0299999999999999E-2</v>
      </c>
      <c r="V126" s="926"/>
      <c r="W126" s="983"/>
      <c r="X126" s="998"/>
      <c r="Y126" s="926"/>
      <c r="Z126" s="1018">
        <v>100</v>
      </c>
      <c r="AA126" s="992">
        <v>750</v>
      </c>
      <c r="AB126" s="993">
        <v>0.2</v>
      </c>
      <c r="AC126" s="988"/>
      <c r="AD126" s="989"/>
      <c r="AE126" s="988"/>
      <c r="AF126" s="989"/>
      <c r="AG126" s="988"/>
      <c r="AH126" s="989"/>
      <c r="AI126" s="988"/>
      <c r="AJ126" s="989"/>
      <c r="AK126" s="921"/>
      <c r="AL126" s="1019">
        <v>100</v>
      </c>
      <c r="AM126" s="1019">
        <v>100</v>
      </c>
      <c r="AN126" s="921"/>
      <c r="AO126" s="992">
        <v>750</v>
      </c>
      <c r="AP126" s="992">
        <v>4</v>
      </c>
      <c r="AQ126" s="1019"/>
      <c r="AR126" s="921"/>
      <c r="AS126" s="921"/>
      <c r="AT126" s="921"/>
      <c r="AU126" s="921"/>
      <c r="AV126" s="921"/>
      <c r="AW126" s="921"/>
      <c r="AX126" s="921"/>
      <c r="AY126" s="921"/>
      <c r="AZ126" s="921"/>
      <c r="BA126" s="921"/>
      <c r="BB126" s="921"/>
      <c r="BC126" s="921"/>
      <c r="BD126" s="921"/>
      <c r="BE126" s="921"/>
      <c r="BF126" s="921"/>
    </row>
    <row r="127" spans="1:58" ht="14.25" thickTop="1" thickBot="1">
      <c r="A127" s="958">
        <v>115</v>
      </c>
      <c r="B127" s="959">
        <v>10</v>
      </c>
      <c r="C127" s="1026" t="s">
        <v>1071</v>
      </c>
      <c r="D127" s="918">
        <v>1.4E-2</v>
      </c>
      <c r="E127" s="1037">
        <v>9.0399999999999994E-2</v>
      </c>
      <c r="F127" s="1020">
        <v>8.6400000000000005E-2</v>
      </c>
      <c r="G127" s="1032">
        <f t="shared" si="18"/>
        <v>1.4E-2</v>
      </c>
      <c r="H127" s="1027">
        <v>8.7999999999999995E-2</v>
      </c>
      <c r="I127" s="1020">
        <v>8.4000000000000005E-2</v>
      </c>
      <c r="J127" s="1033">
        <f t="shared" si="19"/>
        <v>1.4E-2</v>
      </c>
      <c r="K127" s="1028">
        <v>6.9900000000000004E-2</v>
      </c>
      <c r="L127" s="1020">
        <v>6.59E-2</v>
      </c>
      <c r="M127" s="1034">
        <f t="shared" si="20"/>
        <v>1.4E-2</v>
      </c>
      <c r="N127" s="1028">
        <v>6.3399999999999998E-2</v>
      </c>
      <c r="O127" s="1023">
        <v>5.9400000000000001E-2</v>
      </c>
      <c r="P127" s="926"/>
      <c r="Q127" s="1035"/>
      <c r="R127" s="926"/>
      <c r="S127" s="1036">
        <f t="shared" si="21"/>
        <v>1.4E-2</v>
      </c>
      <c r="T127" s="1029">
        <v>6.3399999999999998E-2</v>
      </c>
      <c r="U127" s="1029">
        <v>5.9400000000000001E-2</v>
      </c>
      <c r="V127" s="926"/>
      <c r="W127" s="983"/>
      <c r="X127" s="998"/>
      <c r="Y127" s="926"/>
      <c r="Z127" s="1018">
        <v>100</v>
      </c>
      <c r="AA127" s="992">
        <v>750</v>
      </c>
      <c r="AB127" s="993">
        <v>0.2</v>
      </c>
      <c r="AC127" s="988"/>
      <c r="AD127" s="989"/>
      <c r="AE127" s="988"/>
      <c r="AF127" s="989"/>
      <c r="AG127" s="988"/>
      <c r="AH127" s="989"/>
      <c r="AI127" s="988"/>
      <c r="AJ127" s="989"/>
      <c r="AK127" s="921"/>
      <c r="AL127" s="1019">
        <v>100</v>
      </c>
      <c r="AM127" s="1019">
        <v>100</v>
      </c>
      <c r="AN127" s="921"/>
      <c r="AO127" s="992">
        <v>750</v>
      </c>
      <c r="AP127" s="992">
        <v>4</v>
      </c>
      <c r="AQ127" s="1019"/>
      <c r="AR127" s="921"/>
      <c r="AS127" s="921"/>
      <c r="AT127" s="921"/>
      <c r="AU127" s="921"/>
      <c r="AV127" s="921"/>
      <c r="AW127" s="921"/>
      <c r="AX127" s="921"/>
      <c r="AY127" s="921"/>
      <c r="AZ127" s="921"/>
      <c r="BA127" s="921"/>
      <c r="BB127" s="921"/>
      <c r="BC127" s="921"/>
      <c r="BD127" s="921"/>
      <c r="BE127" s="921"/>
      <c r="BF127" s="921"/>
    </row>
    <row r="128" spans="1:58" ht="14.25" thickTop="1" thickBot="1">
      <c r="A128" s="958">
        <v>116</v>
      </c>
      <c r="B128" s="959">
        <v>11</v>
      </c>
      <c r="C128" s="1086" t="s">
        <v>1073</v>
      </c>
      <c r="D128" s="918">
        <v>1.7999999999999999E-2</v>
      </c>
      <c r="E128" s="1087">
        <v>8.8800000000000004E-2</v>
      </c>
      <c r="F128" s="1088">
        <v>8.48E-2</v>
      </c>
      <c r="G128" s="1089">
        <f t="shared" si="18"/>
        <v>1.7999999999999999E-2</v>
      </c>
      <c r="H128" s="1090">
        <v>8.6400000000000005E-2</v>
      </c>
      <c r="I128" s="1088">
        <v>8.2400000000000001E-2</v>
      </c>
      <c r="J128" s="1091">
        <f t="shared" si="19"/>
        <v>1.7999999999999999E-2</v>
      </c>
      <c r="K128" s="1092">
        <v>6.8599999999999994E-2</v>
      </c>
      <c r="L128" s="1088">
        <v>6.4600000000000005E-2</v>
      </c>
      <c r="M128" s="1093">
        <f t="shared" si="20"/>
        <v>1.7999999999999999E-2</v>
      </c>
      <c r="N128" s="1092">
        <v>6.2300000000000001E-2</v>
      </c>
      <c r="O128" s="1094">
        <v>5.8299999999999998E-2</v>
      </c>
      <c r="P128" s="926"/>
      <c r="Q128" s="1035"/>
      <c r="R128" s="926"/>
      <c r="S128" s="1095">
        <f t="shared" si="21"/>
        <v>1.7999999999999999E-2</v>
      </c>
      <c r="T128" s="1092">
        <v>6.2300000000000001E-2</v>
      </c>
      <c r="U128" s="1096">
        <v>5.8299999999999998E-2</v>
      </c>
      <c r="V128" s="926"/>
      <c r="W128" s="983"/>
      <c r="X128" s="998"/>
      <c r="Y128" s="926"/>
      <c r="Z128" s="1018">
        <v>100</v>
      </c>
      <c r="AA128" s="992">
        <v>750</v>
      </c>
      <c r="AB128" s="993">
        <v>0.2</v>
      </c>
      <c r="AC128" s="988"/>
      <c r="AD128" s="989"/>
      <c r="AE128" s="988"/>
      <c r="AF128" s="989"/>
      <c r="AG128" s="988"/>
      <c r="AH128" s="989"/>
      <c r="AI128" s="988"/>
      <c r="AJ128" s="989"/>
      <c r="AK128" s="921"/>
      <c r="AL128" s="1019">
        <v>100</v>
      </c>
      <c r="AM128" s="1019">
        <v>100</v>
      </c>
      <c r="AN128" s="921"/>
      <c r="AO128" s="992">
        <v>750</v>
      </c>
      <c r="AP128" s="992">
        <v>4</v>
      </c>
      <c r="AQ128" s="1019"/>
      <c r="AR128" s="921"/>
      <c r="AS128" s="921"/>
      <c r="AT128" s="921"/>
      <c r="AU128" s="921"/>
      <c r="AV128" s="921"/>
      <c r="AW128" s="921"/>
      <c r="AX128" s="921"/>
      <c r="AY128" s="921"/>
      <c r="AZ128" s="921"/>
      <c r="BA128" s="921"/>
      <c r="BB128" s="921"/>
      <c r="BC128" s="921"/>
      <c r="BD128" s="921"/>
      <c r="BE128" s="921"/>
      <c r="BF128" s="921"/>
    </row>
    <row r="129" spans="1:58" ht="14.25" thickTop="1" thickBot="1">
      <c r="A129" s="958">
        <v>117</v>
      </c>
      <c r="B129" s="959">
        <v>12</v>
      </c>
      <c r="C129" s="1086" t="s">
        <v>1074</v>
      </c>
      <c r="D129" s="918">
        <v>1.7999999999999999E-2</v>
      </c>
      <c r="E129" s="1087">
        <v>8.72E-2</v>
      </c>
      <c r="F129" s="1088">
        <v>8.3199999999999996E-2</v>
      </c>
      <c r="G129" s="1089">
        <f t="shared" si="18"/>
        <v>1.7999999999999999E-2</v>
      </c>
      <c r="H129" s="1090">
        <v>8.4900000000000003E-2</v>
      </c>
      <c r="I129" s="1088">
        <v>8.09E-2</v>
      </c>
      <c r="J129" s="1091">
        <f t="shared" si="19"/>
        <v>1.7999999999999999E-2</v>
      </c>
      <c r="K129" s="1092">
        <v>6.7400000000000002E-2</v>
      </c>
      <c r="L129" s="1088">
        <v>6.3399999999999998E-2</v>
      </c>
      <c r="M129" s="1093">
        <f t="shared" si="20"/>
        <v>1.7999999999999999E-2</v>
      </c>
      <c r="N129" s="1092">
        <v>6.1199999999999997E-2</v>
      </c>
      <c r="O129" s="1094">
        <v>5.7200000000000001E-2</v>
      </c>
      <c r="P129" s="926"/>
      <c r="Q129" s="1035"/>
      <c r="R129" s="926"/>
      <c r="S129" s="1095">
        <f t="shared" si="21"/>
        <v>1.7999999999999999E-2</v>
      </c>
      <c r="T129" s="1092">
        <v>6.1199999999999997E-2</v>
      </c>
      <c r="U129" s="1096">
        <v>5.7200000000000001E-2</v>
      </c>
      <c r="V129" s="926"/>
      <c r="W129" s="983"/>
      <c r="X129" s="998"/>
      <c r="Y129" s="926"/>
      <c r="Z129" s="1018">
        <v>100</v>
      </c>
      <c r="AA129" s="992">
        <v>750</v>
      </c>
      <c r="AB129" s="993">
        <v>0.2</v>
      </c>
      <c r="AC129" s="988"/>
      <c r="AD129" s="989"/>
      <c r="AE129" s="988"/>
      <c r="AF129" s="989"/>
      <c r="AG129" s="988"/>
      <c r="AH129" s="989"/>
      <c r="AI129" s="988"/>
      <c r="AJ129" s="989"/>
      <c r="AK129" s="921"/>
      <c r="AL129" s="1019">
        <v>100</v>
      </c>
      <c r="AM129" s="1019">
        <v>100</v>
      </c>
      <c r="AN129" s="921"/>
      <c r="AO129" s="992">
        <v>750</v>
      </c>
      <c r="AP129" s="992">
        <v>4</v>
      </c>
      <c r="AQ129" s="1019"/>
      <c r="AR129" s="921"/>
      <c r="AS129" s="921"/>
      <c r="AT129" s="921"/>
      <c r="AU129" s="921"/>
      <c r="AV129" s="921"/>
      <c r="AW129" s="921"/>
      <c r="AX129" s="921"/>
      <c r="AY129" s="921"/>
      <c r="AZ129" s="921"/>
      <c r="BA129" s="921"/>
      <c r="BB129" s="921"/>
      <c r="BC129" s="921"/>
      <c r="BD129" s="921"/>
      <c r="BE129" s="921"/>
      <c r="BF129" s="921"/>
    </row>
    <row r="130" spans="1:58" ht="14.25" thickTop="1" thickBot="1">
      <c r="A130" s="958">
        <v>118</v>
      </c>
      <c r="B130" s="959">
        <v>1</v>
      </c>
      <c r="C130" s="1086" t="s">
        <v>1075</v>
      </c>
      <c r="D130" s="918">
        <v>1.7999999999999999E-2</v>
      </c>
      <c r="E130" s="1087">
        <v>8.5599999999999996E-2</v>
      </c>
      <c r="F130" s="1088">
        <v>8.1600000000000006E-2</v>
      </c>
      <c r="G130" s="1089">
        <v>1.7999999999999999E-2</v>
      </c>
      <c r="H130" s="1090">
        <v>8.3299999999999999E-2</v>
      </c>
      <c r="I130" s="1088">
        <v>7.9299999999999995E-2</v>
      </c>
      <c r="J130" s="1091">
        <v>1.7999999999999999E-2</v>
      </c>
      <c r="K130" s="1092">
        <v>6.6199999999999995E-2</v>
      </c>
      <c r="L130" s="1088">
        <v>6.2199999999999998E-2</v>
      </c>
      <c r="M130" s="1093">
        <v>1.7999999999999999E-2</v>
      </c>
      <c r="N130" s="1092">
        <v>6.0100000000000001E-2</v>
      </c>
      <c r="O130" s="1094">
        <v>5.6099999999999997E-2</v>
      </c>
      <c r="P130" s="926"/>
      <c r="Q130" s="1035"/>
      <c r="R130" s="926"/>
      <c r="S130" s="1095">
        <v>1.7999999999999999E-2</v>
      </c>
      <c r="T130" s="1092">
        <v>6.0100000000000001E-2</v>
      </c>
      <c r="U130" s="1096">
        <v>5.6099999999999997E-2</v>
      </c>
      <c r="V130" s="926"/>
      <c r="W130" s="983"/>
      <c r="X130" s="998"/>
      <c r="Y130" s="926"/>
      <c r="Z130" s="1018">
        <v>100</v>
      </c>
      <c r="AA130" s="992">
        <v>750</v>
      </c>
      <c r="AB130" s="993">
        <v>0.2</v>
      </c>
      <c r="AC130" s="988"/>
      <c r="AD130" s="989"/>
      <c r="AE130" s="988"/>
      <c r="AF130" s="989"/>
      <c r="AG130" s="988"/>
      <c r="AH130" s="989"/>
      <c r="AI130" s="988"/>
      <c r="AJ130" s="989"/>
      <c r="AK130" s="921"/>
      <c r="AL130" s="1019">
        <v>100</v>
      </c>
      <c r="AM130" s="1019">
        <v>100</v>
      </c>
      <c r="AN130" s="921"/>
      <c r="AO130" s="992">
        <v>750</v>
      </c>
      <c r="AP130" s="992">
        <v>4</v>
      </c>
      <c r="AQ130" s="1019"/>
      <c r="AR130" s="921"/>
      <c r="AS130" s="921"/>
      <c r="AT130" s="921"/>
      <c r="AU130" s="921"/>
      <c r="AV130" s="921"/>
      <c r="AW130" s="921"/>
      <c r="AX130" s="921"/>
      <c r="AY130" s="921"/>
      <c r="AZ130" s="921"/>
      <c r="BA130" s="921"/>
      <c r="BB130" s="921"/>
      <c r="BC130" s="921"/>
      <c r="BD130" s="921"/>
      <c r="BE130" s="921"/>
      <c r="BF130" s="921"/>
    </row>
    <row r="131" spans="1:58" ht="14.25" thickTop="1" thickBot="1">
      <c r="A131" s="958">
        <v>119</v>
      </c>
      <c r="B131" s="959">
        <v>2</v>
      </c>
      <c r="C131" s="1086" t="s">
        <v>1117</v>
      </c>
      <c r="D131" s="918">
        <v>1.4E-2</v>
      </c>
      <c r="E131" s="1037">
        <v>8.4400000000000003E-2</v>
      </c>
      <c r="F131" s="1020">
        <v>8.0399999999999999E-2</v>
      </c>
      <c r="G131" s="1032">
        <v>1.4E-2</v>
      </c>
      <c r="H131" s="1027">
        <v>8.2100000000000006E-2</v>
      </c>
      <c r="I131" s="1020">
        <v>7.8100000000000003E-2</v>
      </c>
      <c r="J131" s="1033">
        <v>1.4E-2</v>
      </c>
      <c r="K131" s="1028">
        <v>6.5299999999999997E-2</v>
      </c>
      <c r="L131" s="1020">
        <v>6.13E-2</v>
      </c>
      <c r="M131" s="1034">
        <v>1.4E-2</v>
      </c>
      <c r="N131" s="1028">
        <v>5.9299999999999999E-2</v>
      </c>
      <c r="O131" s="1023">
        <v>5.5300000000000002E-2</v>
      </c>
      <c r="P131" s="926"/>
      <c r="Q131" s="1035"/>
      <c r="R131" s="926"/>
      <c r="S131" s="1036">
        <v>1.4E-2</v>
      </c>
      <c r="T131" s="1029">
        <v>5.9299999999999999E-2</v>
      </c>
      <c r="U131" s="1029">
        <v>5.5300000000000002E-2</v>
      </c>
      <c r="V131" s="926"/>
      <c r="W131" s="983"/>
      <c r="X131" s="998"/>
      <c r="Y131" s="926"/>
      <c r="Z131" s="1018">
        <v>100</v>
      </c>
      <c r="AA131" s="992">
        <v>750</v>
      </c>
      <c r="AB131" s="993">
        <v>0.2</v>
      </c>
      <c r="AC131" s="988"/>
      <c r="AD131" s="989"/>
      <c r="AE131" s="988"/>
      <c r="AF131" s="989"/>
      <c r="AG131" s="988"/>
      <c r="AH131" s="989"/>
      <c r="AI131" s="988"/>
      <c r="AJ131" s="989"/>
      <c r="AK131" s="921"/>
      <c r="AL131" s="1019">
        <v>100</v>
      </c>
      <c r="AM131" s="1019">
        <v>100</v>
      </c>
      <c r="AN131" s="921"/>
      <c r="AO131" s="992">
        <v>750</v>
      </c>
      <c r="AP131" s="992">
        <v>4</v>
      </c>
      <c r="AQ131" s="1019"/>
      <c r="AR131" s="921"/>
      <c r="AS131" s="921"/>
      <c r="AT131" s="921"/>
      <c r="AU131" s="921"/>
      <c r="AV131" s="921"/>
      <c r="AW131" s="921"/>
      <c r="AX131" s="921"/>
      <c r="AY131" s="921"/>
      <c r="AZ131" s="921"/>
      <c r="BA131" s="921"/>
      <c r="BB131" s="921"/>
      <c r="BC131" s="921"/>
      <c r="BD131" s="921"/>
      <c r="BE131" s="921"/>
      <c r="BF131" s="921"/>
    </row>
    <row r="132" spans="1:58" ht="14.25" thickTop="1" thickBot="1">
      <c r="A132" s="958">
        <v>120</v>
      </c>
      <c r="B132" s="959">
        <v>3</v>
      </c>
      <c r="C132" s="1086" t="s">
        <v>1118</v>
      </c>
      <c r="D132" s="918">
        <v>1.4E-2</v>
      </c>
      <c r="E132" s="1037">
        <v>8.3199999999999996E-2</v>
      </c>
      <c r="F132" s="1020">
        <v>7.9200000000000007E-2</v>
      </c>
      <c r="G132" s="1032">
        <v>1.4E-2</v>
      </c>
      <c r="H132" s="1027">
        <v>8.1000000000000003E-2</v>
      </c>
      <c r="I132" s="1020">
        <v>7.6999999999999999E-2</v>
      </c>
      <c r="J132" s="1033">
        <v>1.4E-2</v>
      </c>
      <c r="K132" s="1028">
        <v>6.4399999999999999E-2</v>
      </c>
      <c r="L132" s="1020">
        <v>6.0400000000000002E-2</v>
      </c>
      <c r="M132" s="1034">
        <v>1.4E-2</v>
      </c>
      <c r="N132" s="1028">
        <v>5.8400000000000001E-2</v>
      </c>
      <c r="O132" s="1023">
        <v>5.4399999999999997E-2</v>
      </c>
      <c r="P132" s="926"/>
      <c r="Q132" s="1035"/>
      <c r="R132" s="926"/>
      <c r="S132" s="1036">
        <v>1.4E-2</v>
      </c>
      <c r="T132" s="1029">
        <v>5.8400000000000001E-2</v>
      </c>
      <c r="U132" s="1029">
        <v>5.4399999999999997E-2</v>
      </c>
      <c r="V132" s="926"/>
      <c r="W132" s="983"/>
      <c r="X132" s="998"/>
      <c r="Y132" s="926"/>
      <c r="Z132" s="1018">
        <v>100</v>
      </c>
      <c r="AA132" s="992">
        <v>750</v>
      </c>
      <c r="AB132" s="993">
        <v>0.2</v>
      </c>
      <c r="AC132" s="988"/>
      <c r="AD132" s="989"/>
      <c r="AE132" s="988"/>
      <c r="AF132" s="989"/>
      <c r="AG132" s="988"/>
      <c r="AH132" s="989"/>
      <c r="AI132" s="988"/>
      <c r="AJ132" s="989"/>
      <c r="AK132" s="921"/>
      <c r="AL132" s="1019">
        <v>100</v>
      </c>
      <c r="AM132" s="1019">
        <v>100</v>
      </c>
      <c r="AN132" s="921"/>
      <c r="AO132" s="992">
        <v>750</v>
      </c>
      <c r="AP132" s="992">
        <v>4</v>
      </c>
      <c r="AQ132" s="1019"/>
      <c r="AR132" s="921"/>
      <c r="AS132" s="921"/>
      <c r="AT132" s="921"/>
      <c r="AU132" s="921"/>
      <c r="AV132" s="921"/>
      <c r="AW132" s="921"/>
      <c r="AX132" s="921"/>
      <c r="AY132" s="921"/>
      <c r="AZ132" s="921"/>
      <c r="BA132" s="921"/>
      <c r="BB132" s="921"/>
      <c r="BC132" s="921"/>
      <c r="BD132" s="921"/>
      <c r="BE132" s="921"/>
      <c r="BF132" s="921"/>
    </row>
    <row r="133" spans="1:58" ht="14.25" thickTop="1" thickBot="1">
      <c r="A133" s="958">
        <v>121</v>
      </c>
      <c r="B133" s="959">
        <v>4</v>
      </c>
      <c r="C133" s="1086" t="s">
        <v>1119</v>
      </c>
      <c r="D133" s="918">
        <v>1.4E-2</v>
      </c>
      <c r="E133" s="1037">
        <v>8.2100000000000006E-2</v>
      </c>
      <c r="F133" s="1020">
        <v>7.8100000000000003E-2</v>
      </c>
      <c r="G133" s="1032">
        <v>1.4E-2</v>
      </c>
      <c r="H133" s="1027">
        <v>7.9899999999999999E-2</v>
      </c>
      <c r="I133" s="1020">
        <v>7.5899999999999995E-2</v>
      </c>
      <c r="J133" s="1033">
        <v>1.4E-2</v>
      </c>
      <c r="K133" s="1028">
        <v>6.3500000000000001E-2</v>
      </c>
      <c r="L133" s="1020">
        <v>5.9499999999999997E-2</v>
      </c>
      <c r="M133" s="1034">
        <v>1.4E-2</v>
      </c>
      <c r="N133" s="1028">
        <v>5.7599999999999998E-2</v>
      </c>
      <c r="O133" s="1023">
        <v>5.3600000000000002E-2</v>
      </c>
      <c r="P133" s="926"/>
      <c r="Q133" s="1035"/>
      <c r="R133" s="926"/>
      <c r="S133" s="1036">
        <v>1.4E-2</v>
      </c>
      <c r="T133" s="1029">
        <v>5.7599999999999998E-2</v>
      </c>
      <c r="U133" s="1029">
        <v>5.3600000000000002E-2</v>
      </c>
      <c r="V133" s="926"/>
      <c r="W133" s="983"/>
      <c r="X133" s="998"/>
      <c r="Y133" s="926"/>
      <c r="Z133" s="1018">
        <v>100</v>
      </c>
      <c r="AA133" s="992">
        <v>750</v>
      </c>
      <c r="AB133" s="993">
        <v>0.2</v>
      </c>
      <c r="AC133" s="988"/>
      <c r="AD133" s="989"/>
      <c r="AE133" s="988"/>
      <c r="AF133" s="989"/>
      <c r="AG133" s="988"/>
      <c r="AH133" s="989"/>
      <c r="AI133" s="988"/>
      <c r="AJ133" s="989"/>
      <c r="AK133" s="921"/>
      <c r="AL133" s="1019">
        <v>100</v>
      </c>
      <c r="AM133" s="1019">
        <v>100</v>
      </c>
      <c r="AN133" s="921"/>
      <c r="AO133" s="992">
        <v>750</v>
      </c>
      <c r="AP133" s="992">
        <v>4</v>
      </c>
      <c r="AQ133" s="1019"/>
      <c r="AR133" s="921"/>
      <c r="AS133" s="921"/>
      <c r="AT133" s="921"/>
      <c r="AU133" s="921"/>
      <c r="AV133" s="921"/>
      <c r="AW133" s="921"/>
      <c r="AX133" s="921"/>
      <c r="AY133" s="921"/>
      <c r="AZ133" s="921"/>
      <c r="BA133" s="921"/>
      <c r="BB133" s="921"/>
      <c r="BC133" s="921"/>
      <c r="BD133" s="921"/>
      <c r="BE133" s="921"/>
      <c r="BF133" s="921"/>
    </row>
    <row r="134" spans="1:58" ht="14.25" thickTop="1" thickBot="1">
      <c r="A134" s="958">
        <v>122</v>
      </c>
      <c r="B134" s="959">
        <v>5</v>
      </c>
      <c r="C134" s="1086" t="s">
        <v>1120</v>
      </c>
      <c r="D134" s="918">
        <v>1.4E-2</v>
      </c>
      <c r="E134" s="1037">
        <v>8.09E-2</v>
      </c>
      <c r="F134" s="1020">
        <v>7.6899999999999996E-2</v>
      </c>
      <c r="G134" s="1032">
        <v>1.4E-2</v>
      </c>
      <c r="H134" s="1027">
        <v>7.8700000000000006E-2</v>
      </c>
      <c r="I134" s="1020">
        <v>7.4700000000000003E-2</v>
      </c>
      <c r="J134" s="1033">
        <v>1.4E-2</v>
      </c>
      <c r="K134" s="1028">
        <v>6.2600000000000003E-2</v>
      </c>
      <c r="L134" s="1020">
        <v>5.8599999999999999E-2</v>
      </c>
      <c r="M134" s="1034">
        <v>1.4E-2</v>
      </c>
      <c r="N134" s="1028">
        <v>5.6800000000000003E-2</v>
      </c>
      <c r="O134" s="1023">
        <v>5.28E-2</v>
      </c>
      <c r="P134" s="926"/>
      <c r="Q134" s="1035"/>
      <c r="R134" s="926"/>
      <c r="S134" s="1036">
        <v>1.4E-2</v>
      </c>
      <c r="T134" s="1029">
        <v>5.6800000000000003E-2</v>
      </c>
      <c r="U134" s="1029">
        <v>5.28E-2</v>
      </c>
      <c r="V134" s="926"/>
      <c r="W134" s="983"/>
      <c r="X134" s="998"/>
      <c r="Y134" s="926"/>
      <c r="Z134" s="1018">
        <v>100</v>
      </c>
      <c r="AA134" s="992">
        <v>750</v>
      </c>
      <c r="AB134" s="993">
        <v>0.2</v>
      </c>
      <c r="AC134" s="988"/>
      <c r="AD134" s="989"/>
      <c r="AE134" s="988"/>
      <c r="AF134" s="989"/>
      <c r="AG134" s="988"/>
      <c r="AH134" s="989"/>
      <c r="AI134" s="988"/>
      <c r="AJ134" s="989"/>
      <c r="AK134" s="921"/>
      <c r="AL134" s="1019">
        <v>100</v>
      </c>
      <c r="AM134" s="1019">
        <v>100</v>
      </c>
      <c r="AN134" s="921"/>
      <c r="AO134" s="992">
        <v>750</v>
      </c>
      <c r="AP134" s="992">
        <v>4</v>
      </c>
      <c r="AQ134" s="1019"/>
      <c r="AR134" s="921"/>
      <c r="AS134" s="921"/>
      <c r="AT134" s="921"/>
      <c r="AU134" s="921"/>
      <c r="AV134" s="921"/>
      <c r="AW134" s="921"/>
      <c r="AX134" s="921"/>
      <c r="AY134" s="921"/>
      <c r="AZ134" s="921"/>
      <c r="BA134" s="921"/>
      <c r="BB134" s="921"/>
      <c r="BC134" s="921"/>
      <c r="BD134" s="921"/>
      <c r="BE134" s="921"/>
      <c r="BF134" s="921"/>
    </row>
    <row r="135" spans="1:58" ht="14.25" thickTop="1" thickBot="1">
      <c r="A135" s="958">
        <v>123</v>
      </c>
      <c r="B135" s="959">
        <v>6</v>
      </c>
      <c r="C135" s="1086" t="s">
        <v>1121</v>
      </c>
      <c r="D135" s="918">
        <v>1.4E-2</v>
      </c>
      <c r="E135" s="1037">
        <v>7.9799999999999996E-2</v>
      </c>
      <c r="F135" s="1020">
        <v>7.5800000000000006E-2</v>
      </c>
      <c r="G135" s="1032">
        <v>1.4E-2</v>
      </c>
      <c r="H135" s="1027">
        <v>7.7600000000000002E-2</v>
      </c>
      <c r="I135" s="1020">
        <v>7.3599999999999999E-2</v>
      </c>
      <c r="J135" s="1033">
        <v>1.4E-2</v>
      </c>
      <c r="K135" s="1028">
        <v>6.1699999999999998E-2</v>
      </c>
      <c r="L135" s="1020">
        <v>5.7700000000000001E-2</v>
      </c>
      <c r="M135" s="1034">
        <v>1.4E-2</v>
      </c>
      <c r="N135" s="1028">
        <v>5.6000000000000001E-2</v>
      </c>
      <c r="O135" s="1023">
        <v>5.1999999999999998E-2</v>
      </c>
      <c r="P135" s="926"/>
      <c r="Q135" s="1035"/>
      <c r="R135" s="926"/>
      <c r="S135" s="1036">
        <v>1.4E-2</v>
      </c>
      <c r="T135" s="1029">
        <v>5.6000000000000001E-2</v>
      </c>
      <c r="U135" s="1029">
        <v>5.1999999999999998E-2</v>
      </c>
      <c r="V135" s="926"/>
      <c r="W135" s="983"/>
      <c r="X135" s="998"/>
      <c r="Y135" s="926"/>
      <c r="Z135" s="1018">
        <v>100</v>
      </c>
      <c r="AA135" s="992">
        <v>750</v>
      </c>
      <c r="AB135" s="993">
        <v>0.2</v>
      </c>
      <c r="AC135" s="988"/>
      <c r="AD135" s="989"/>
      <c r="AE135" s="988"/>
      <c r="AF135" s="989"/>
      <c r="AG135" s="988"/>
      <c r="AH135" s="989"/>
      <c r="AI135" s="988"/>
      <c r="AJ135" s="989"/>
      <c r="AK135" s="921"/>
      <c r="AL135" s="1019">
        <v>100</v>
      </c>
      <c r="AM135" s="1019">
        <v>100</v>
      </c>
      <c r="AN135" s="921"/>
      <c r="AO135" s="992">
        <v>750</v>
      </c>
      <c r="AP135" s="992">
        <v>4</v>
      </c>
      <c r="AQ135" s="1019"/>
      <c r="AR135" s="921"/>
      <c r="AS135" s="921"/>
      <c r="AT135" s="921"/>
      <c r="AU135" s="921"/>
      <c r="AV135" s="921"/>
      <c r="AW135" s="921"/>
      <c r="AX135" s="921"/>
      <c r="AY135" s="921"/>
      <c r="AZ135" s="921"/>
      <c r="BA135" s="921"/>
      <c r="BB135" s="921"/>
      <c r="BC135" s="921"/>
      <c r="BD135" s="921"/>
      <c r="BE135" s="921"/>
      <c r="BF135" s="921"/>
    </row>
    <row r="136" spans="1:58" ht="14.25" thickTop="1" thickBot="1">
      <c r="A136" s="958">
        <v>124</v>
      </c>
      <c r="B136" s="959">
        <v>7</v>
      </c>
      <c r="C136" s="1086" t="s">
        <v>1122</v>
      </c>
      <c r="D136" s="918">
        <v>1.4E-2</v>
      </c>
      <c r="E136" s="1037">
        <v>7.8700000000000006E-2</v>
      </c>
      <c r="F136" s="1020">
        <v>7.4700000000000003E-2</v>
      </c>
      <c r="G136" s="1032">
        <v>1.4E-2</v>
      </c>
      <c r="H136" s="1027">
        <v>7.6499999999999999E-2</v>
      </c>
      <c r="I136" s="1020">
        <v>7.2499999999999995E-2</v>
      </c>
      <c r="J136" s="1033">
        <v>1.4E-2</v>
      </c>
      <c r="K136" s="1028">
        <v>6.08E-2</v>
      </c>
      <c r="L136" s="1020">
        <v>5.6800000000000003E-2</v>
      </c>
      <c r="M136" s="1034">
        <v>1.4E-2</v>
      </c>
      <c r="N136" s="1028">
        <v>5.5199999999999999E-2</v>
      </c>
      <c r="O136" s="1023">
        <v>5.1200000000000002E-2</v>
      </c>
      <c r="P136" s="926"/>
      <c r="Q136" s="1035"/>
      <c r="R136" s="926"/>
      <c r="S136" s="1036">
        <v>1.4E-2</v>
      </c>
      <c r="T136" s="1029">
        <v>5.5199999999999999E-2</v>
      </c>
      <c r="U136" s="1029">
        <v>5.1200000000000002E-2</v>
      </c>
      <c r="V136" s="926"/>
      <c r="W136" s="983"/>
      <c r="X136" s="998"/>
      <c r="Y136" s="926"/>
      <c r="Z136" s="1018">
        <v>100</v>
      </c>
      <c r="AA136" s="992">
        <v>750</v>
      </c>
      <c r="AB136" s="993">
        <v>0.2</v>
      </c>
      <c r="AC136" s="988"/>
      <c r="AD136" s="989"/>
      <c r="AE136" s="988"/>
      <c r="AF136" s="989"/>
      <c r="AG136" s="988"/>
      <c r="AH136" s="989"/>
      <c r="AI136" s="988"/>
      <c r="AJ136" s="989"/>
      <c r="AK136" s="921"/>
      <c r="AL136" s="1019">
        <v>100</v>
      </c>
      <c r="AM136" s="1019">
        <v>100</v>
      </c>
      <c r="AN136" s="921"/>
      <c r="AO136" s="992">
        <v>750</v>
      </c>
      <c r="AP136" s="992">
        <v>4</v>
      </c>
      <c r="AQ136" s="1019"/>
      <c r="AR136" s="921"/>
      <c r="AS136" s="921"/>
      <c r="AT136" s="921"/>
      <c r="AU136" s="921"/>
      <c r="AV136" s="921"/>
      <c r="AW136" s="921"/>
      <c r="AX136" s="921"/>
      <c r="AY136" s="921"/>
      <c r="AZ136" s="921"/>
      <c r="BA136" s="921"/>
      <c r="BB136" s="921"/>
      <c r="BC136" s="921"/>
      <c r="BD136" s="921"/>
      <c r="BE136" s="921"/>
      <c r="BF136" s="921"/>
    </row>
    <row r="137" spans="1:58" ht="14.25" thickTop="1" thickBot="1">
      <c r="A137" s="958">
        <v>125</v>
      </c>
      <c r="B137" s="959">
        <v>8</v>
      </c>
      <c r="C137" s="1086" t="s">
        <v>1123</v>
      </c>
      <c r="D137" s="918">
        <v>1.4E-2</v>
      </c>
      <c r="E137" s="1037">
        <v>7.7600000000000002E-2</v>
      </c>
      <c r="F137" s="1020">
        <v>7.3599999999999999E-2</v>
      </c>
      <c r="G137" s="1032">
        <v>1.4E-2</v>
      </c>
      <c r="H137" s="1027">
        <v>7.5499999999999998E-2</v>
      </c>
      <c r="I137" s="1020">
        <v>7.1499999999999994E-2</v>
      </c>
      <c r="J137" s="1033">
        <v>1.4E-2</v>
      </c>
      <c r="K137" s="1028">
        <v>0.06</v>
      </c>
      <c r="L137" s="1020">
        <v>5.6000000000000001E-2</v>
      </c>
      <c r="M137" s="1034">
        <v>1.4E-2</v>
      </c>
      <c r="N137" s="1028">
        <v>5.45E-2</v>
      </c>
      <c r="O137" s="1023">
        <v>5.0500000000000003E-2</v>
      </c>
      <c r="P137" s="926"/>
      <c r="Q137" s="1035"/>
      <c r="R137" s="926"/>
      <c r="S137" s="1036">
        <v>1.4E-2</v>
      </c>
      <c r="T137" s="1029">
        <v>5.45E-2</v>
      </c>
      <c r="U137" s="1029">
        <v>5.0500000000000003E-2</v>
      </c>
      <c r="V137" s="926"/>
      <c r="W137" s="983"/>
      <c r="X137" s="998"/>
      <c r="Y137" s="926"/>
      <c r="Z137" s="1018">
        <v>100</v>
      </c>
      <c r="AA137" s="992">
        <v>750</v>
      </c>
      <c r="AB137" s="993">
        <v>0.2</v>
      </c>
      <c r="AC137" s="988"/>
      <c r="AD137" s="989"/>
      <c r="AE137" s="988"/>
      <c r="AF137" s="989"/>
      <c r="AG137" s="988"/>
      <c r="AH137" s="989"/>
      <c r="AI137" s="988"/>
      <c r="AJ137" s="989"/>
      <c r="AK137" s="921"/>
      <c r="AL137" s="1019">
        <v>100</v>
      </c>
      <c r="AM137" s="1019">
        <v>100</v>
      </c>
      <c r="AN137" s="921"/>
      <c r="AO137" s="992">
        <v>750</v>
      </c>
      <c r="AP137" s="992">
        <v>4</v>
      </c>
      <c r="AQ137" s="1019"/>
      <c r="AR137" s="921"/>
      <c r="AS137" s="921"/>
      <c r="AT137" s="921"/>
      <c r="AU137" s="921"/>
      <c r="AV137" s="921"/>
      <c r="AW137" s="921"/>
      <c r="AX137" s="921"/>
      <c r="AY137" s="921"/>
      <c r="AZ137" s="921"/>
      <c r="BA137" s="921"/>
      <c r="BB137" s="921"/>
      <c r="BC137" s="921"/>
      <c r="BD137" s="921"/>
      <c r="BE137" s="921"/>
      <c r="BF137" s="921"/>
    </row>
    <row r="138" spans="1:58" ht="14.25" thickTop="1" thickBot="1">
      <c r="A138" s="958">
        <v>126</v>
      </c>
      <c r="B138" s="959">
        <v>9</v>
      </c>
      <c r="C138" s="1086" t="s">
        <v>1124</v>
      </c>
      <c r="D138" s="918">
        <v>1.4E-2</v>
      </c>
      <c r="E138" s="1037">
        <v>7.6499999999999999E-2</v>
      </c>
      <c r="F138" s="1020">
        <v>7.2499999999999995E-2</v>
      </c>
      <c r="G138" s="1032">
        <v>1.4E-2</v>
      </c>
      <c r="H138" s="1027">
        <v>7.4399999999999994E-2</v>
      </c>
      <c r="I138" s="1020">
        <v>7.0400000000000004E-2</v>
      </c>
      <c r="J138" s="1033">
        <v>1.4E-2</v>
      </c>
      <c r="K138" s="1028">
        <v>5.91E-2</v>
      </c>
      <c r="L138" s="1020">
        <v>5.5100000000000003E-2</v>
      </c>
      <c r="M138" s="1034">
        <v>1.4E-2</v>
      </c>
      <c r="N138" s="1028">
        <v>5.3699999999999998E-2</v>
      </c>
      <c r="O138" s="1023">
        <v>4.9700000000000001E-2</v>
      </c>
      <c r="P138" s="926"/>
      <c r="Q138" s="1035"/>
      <c r="R138" s="926"/>
      <c r="S138" s="1036">
        <v>1.4E-2</v>
      </c>
      <c r="T138" s="1029">
        <v>5.3699999999999998E-2</v>
      </c>
      <c r="U138" s="1029">
        <v>4.9700000000000001E-2</v>
      </c>
      <c r="V138" s="926"/>
      <c r="W138" s="983"/>
      <c r="X138" s="998"/>
      <c r="Y138" s="926"/>
      <c r="Z138" s="1018">
        <v>100</v>
      </c>
      <c r="AA138" s="992">
        <v>750</v>
      </c>
      <c r="AB138" s="993">
        <v>0.2</v>
      </c>
      <c r="AC138" s="988"/>
      <c r="AD138" s="989"/>
      <c r="AE138" s="988"/>
      <c r="AF138" s="989"/>
      <c r="AG138" s="988"/>
      <c r="AH138" s="989"/>
      <c r="AI138" s="988"/>
      <c r="AJ138" s="989"/>
      <c r="AK138" s="921"/>
      <c r="AL138" s="1019">
        <v>100</v>
      </c>
      <c r="AM138" s="1019">
        <v>100</v>
      </c>
      <c r="AN138" s="921"/>
      <c r="AO138" s="992">
        <v>750</v>
      </c>
      <c r="AP138" s="992">
        <v>4</v>
      </c>
      <c r="AQ138" s="1019"/>
      <c r="AR138" s="921"/>
      <c r="AS138" s="921"/>
      <c r="AT138" s="921"/>
      <c r="AU138" s="921"/>
      <c r="AV138" s="921"/>
      <c r="AW138" s="921"/>
      <c r="AX138" s="921"/>
      <c r="AY138" s="921"/>
      <c r="AZ138" s="921"/>
      <c r="BA138" s="921"/>
      <c r="BB138" s="921"/>
      <c r="BC138" s="921"/>
      <c r="BD138" s="921"/>
      <c r="BE138" s="921"/>
      <c r="BF138" s="921"/>
    </row>
    <row r="139" spans="1:58" ht="14.25" thickTop="1" thickBot="1">
      <c r="A139" s="958">
        <v>127</v>
      </c>
      <c r="B139" s="959">
        <v>10</v>
      </c>
      <c r="C139" s="1086" t="s">
        <v>1125</v>
      </c>
      <c r="D139" s="918">
        <v>1.4E-2</v>
      </c>
      <c r="E139" s="1037">
        <v>7.5399999999999995E-2</v>
      </c>
      <c r="F139" s="1020">
        <v>7.1400000000000005E-2</v>
      </c>
      <c r="G139" s="1032">
        <v>1.4E-2</v>
      </c>
      <c r="H139" s="1027">
        <v>7.3400000000000007E-2</v>
      </c>
      <c r="I139" s="1020">
        <v>6.9400000000000003E-2</v>
      </c>
      <c r="J139" s="1033">
        <v>1.4E-2</v>
      </c>
      <c r="K139" s="1028">
        <v>5.8299999999999998E-2</v>
      </c>
      <c r="L139" s="1020">
        <v>5.4300000000000001E-2</v>
      </c>
      <c r="M139" s="1034">
        <v>1.4E-2</v>
      </c>
      <c r="N139" s="1028">
        <v>5.2900000000000003E-2</v>
      </c>
      <c r="O139" s="1023">
        <v>4.8899999999999999E-2</v>
      </c>
      <c r="P139" s="926"/>
      <c r="Q139" s="1035"/>
      <c r="R139" s="926"/>
      <c r="S139" s="1036">
        <v>1.4E-2</v>
      </c>
      <c r="T139" s="1029">
        <v>5.2900000000000003E-2</v>
      </c>
      <c r="U139" s="1029">
        <v>4.8899999999999999E-2</v>
      </c>
      <c r="V139" s="926"/>
      <c r="W139" s="983"/>
      <c r="X139" s="998"/>
      <c r="Y139" s="926"/>
      <c r="Z139" s="1018">
        <v>100</v>
      </c>
      <c r="AA139" s="992">
        <v>750</v>
      </c>
      <c r="AB139" s="993">
        <v>0.2</v>
      </c>
      <c r="AC139" s="988"/>
      <c r="AD139" s="989"/>
      <c r="AE139" s="988"/>
      <c r="AF139" s="989"/>
      <c r="AG139" s="988"/>
      <c r="AH139" s="989"/>
      <c r="AI139" s="988"/>
      <c r="AJ139" s="989"/>
      <c r="AK139" s="921"/>
      <c r="AL139" s="1019">
        <v>100</v>
      </c>
      <c r="AM139" s="1019">
        <v>100</v>
      </c>
      <c r="AN139" s="921"/>
      <c r="AO139" s="992">
        <v>750</v>
      </c>
      <c r="AP139" s="992">
        <v>4</v>
      </c>
      <c r="AQ139" s="1019"/>
      <c r="AR139" s="921"/>
      <c r="AS139" s="921"/>
      <c r="AT139" s="921"/>
      <c r="AU139" s="921"/>
      <c r="AV139" s="921"/>
      <c r="AW139" s="921"/>
      <c r="AX139" s="921"/>
      <c r="AY139" s="921"/>
      <c r="AZ139" s="921"/>
      <c r="BA139" s="921"/>
      <c r="BB139" s="921"/>
      <c r="BC139" s="921"/>
      <c r="BD139" s="921"/>
      <c r="BE139" s="921"/>
      <c r="BF139" s="921"/>
    </row>
    <row r="140" spans="1:58" ht="14.25" thickTop="1" thickBot="1">
      <c r="A140" s="958">
        <v>128</v>
      </c>
      <c r="B140" s="959">
        <v>11</v>
      </c>
      <c r="C140" s="1086" t="s">
        <v>1126</v>
      </c>
      <c r="D140" s="918">
        <v>1.4E-2</v>
      </c>
      <c r="E140" s="1037">
        <v>7.4300000000000005E-2</v>
      </c>
      <c r="F140" s="1020">
        <v>7.0300000000000001E-2</v>
      </c>
      <c r="G140" s="1032">
        <v>1.4E-2</v>
      </c>
      <c r="H140" s="1027">
        <v>7.2300000000000003E-2</v>
      </c>
      <c r="I140" s="1020">
        <v>6.83E-2</v>
      </c>
      <c r="J140" s="1033">
        <v>1.4E-2</v>
      </c>
      <c r="K140" s="1028">
        <v>5.7500000000000002E-2</v>
      </c>
      <c r="L140" s="1020">
        <v>5.3499999999999999E-2</v>
      </c>
      <c r="M140" s="1034">
        <v>1.4E-2</v>
      </c>
      <c r="N140" s="1028">
        <v>5.2200000000000003E-2</v>
      </c>
      <c r="O140" s="1023">
        <v>4.82E-2</v>
      </c>
      <c r="P140" s="926"/>
      <c r="Q140" s="1035"/>
      <c r="R140" s="926"/>
      <c r="S140" s="1036">
        <v>1.4E-2</v>
      </c>
      <c r="T140" s="1029">
        <v>5.2200000000000003E-2</v>
      </c>
      <c r="U140" s="1029">
        <v>4.82E-2</v>
      </c>
      <c r="V140" s="926"/>
      <c r="W140" s="983"/>
      <c r="X140" s="998"/>
      <c r="Y140" s="926"/>
      <c r="Z140" s="1018">
        <v>100</v>
      </c>
      <c r="AA140" s="992">
        <v>750</v>
      </c>
      <c r="AB140" s="993">
        <v>0.2</v>
      </c>
      <c r="AC140" s="988"/>
      <c r="AD140" s="989"/>
      <c r="AE140" s="988"/>
      <c r="AF140" s="989"/>
      <c r="AG140" s="988"/>
      <c r="AH140" s="989"/>
      <c r="AI140" s="988"/>
      <c r="AJ140" s="989"/>
      <c r="AK140" s="921"/>
      <c r="AL140" s="1019">
        <v>100</v>
      </c>
      <c r="AM140" s="1019">
        <v>100</v>
      </c>
      <c r="AN140" s="921"/>
      <c r="AO140" s="992">
        <v>750</v>
      </c>
      <c r="AP140" s="992">
        <v>4</v>
      </c>
      <c r="AQ140" s="1019"/>
      <c r="AR140" s="921"/>
      <c r="AS140" s="921"/>
      <c r="AT140" s="921"/>
      <c r="AU140" s="921"/>
      <c r="AV140" s="921"/>
      <c r="AW140" s="921"/>
      <c r="AX140" s="921"/>
      <c r="AY140" s="921"/>
      <c r="AZ140" s="921"/>
      <c r="BA140" s="921"/>
      <c r="BB140" s="921"/>
      <c r="BC140" s="921"/>
      <c r="BD140" s="921"/>
      <c r="BE140" s="921"/>
      <c r="BF140" s="921"/>
    </row>
    <row r="141" spans="1:58" s="1084" customFormat="1" ht="14.25" thickTop="1" thickBot="1">
      <c r="A141" s="958"/>
      <c r="B141" s="959"/>
      <c r="C141" s="1086" t="s">
        <v>1127</v>
      </c>
      <c r="D141" s="918">
        <v>1.4E-2</v>
      </c>
      <c r="E141" s="1037">
        <v>7.3300000000000004E-2</v>
      </c>
      <c r="F141" s="1020">
        <v>6.93E-2</v>
      </c>
      <c r="G141" s="1032">
        <v>1.4E-2</v>
      </c>
      <c r="H141" s="1027">
        <v>7.1300000000000002E-2</v>
      </c>
      <c r="I141" s="1020">
        <v>6.7299999999999999E-2</v>
      </c>
      <c r="J141" s="1033">
        <v>1.4E-2</v>
      </c>
      <c r="K141" s="1028">
        <v>5.67E-2</v>
      </c>
      <c r="L141" s="1020">
        <v>5.2699999999999997E-2</v>
      </c>
      <c r="M141" s="1034">
        <v>1.4E-2</v>
      </c>
      <c r="N141" s="1028">
        <v>5.1499999999999997E-2</v>
      </c>
      <c r="O141" s="1023">
        <v>4.7500000000000001E-2</v>
      </c>
      <c r="P141" s="926"/>
      <c r="Q141" s="1035"/>
      <c r="R141" s="926"/>
      <c r="S141" s="1036">
        <v>1.4E-2</v>
      </c>
      <c r="T141" s="1029">
        <v>5.1499999999999997E-2</v>
      </c>
      <c r="U141" s="1029">
        <v>4.7500000000000001E-2</v>
      </c>
      <c r="V141" s="926"/>
      <c r="W141" s="983"/>
      <c r="X141" s="998"/>
      <c r="Y141" s="926"/>
      <c r="Z141" s="1018">
        <v>100</v>
      </c>
      <c r="AA141" s="992">
        <v>750</v>
      </c>
      <c r="AB141" s="993">
        <v>0.2</v>
      </c>
      <c r="AC141" s="988"/>
      <c r="AD141" s="989"/>
      <c r="AE141" s="988"/>
      <c r="AF141" s="989"/>
      <c r="AG141" s="988"/>
      <c r="AH141" s="989"/>
      <c r="AI141" s="988"/>
      <c r="AJ141" s="989"/>
      <c r="AK141" s="921"/>
      <c r="AL141" s="1019">
        <v>100</v>
      </c>
      <c r="AM141" s="1019">
        <v>100</v>
      </c>
      <c r="AN141" s="921"/>
      <c r="AO141" s="992">
        <v>750</v>
      </c>
      <c r="AP141" s="992">
        <v>4</v>
      </c>
      <c r="AQ141" s="1019"/>
      <c r="AR141" s="921"/>
      <c r="AS141" s="921"/>
      <c r="AT141" s="921"/>
      <c r="AU141" s="921"/>
      <c r="AV141" s="921"/>
      <c r="AW141" s="921"/>
      <c r="AX141" s="921"/>
      <c r="AY141" s="921"/>
      <c r="AZ141" s="921"/>
      <c r="BA141" s="921"/>
      <c r="BB141" s="921"/>
      <c r="BC141" s="921"/>
      <c r="BD141" s="921"/>
      <c r="BE141" s="921"/>
      <c r="BF141" s="921"/>
    </row>
    <row r="142" spans="1:58" s="1084" customFormat="1" ht="14.25" thickTop="1" thickBot="1">
      <c r="A142" s="958"/>
      <c r="B142" s="959"/>
      <c r="C142" s="1086" t="s">
        <v>1128</v>
      </c>
      <c r="D142" s="918">
        <v>1.4E-2</v>
      </c>
      <c r="E142" s="1037">
        <v>7.2300000000000003E-2</v>
      </c>
      <c r="F142" s="1020">
        <v>6.83E-2</v>
      </c>
      <c r="G142" s="1032">
        <v>1.4E-2</v>
      </c>
      <c r="H142" s="1027">
        <v>7.0300000000000001E-2</v>
      </c>
      <c r="I142" s="1020">
        <v>6.6299999999999998E-2</v>
      </c>
      <c r="J142" s="1033">
        <v>1.4E-2</v>
      </c>
      <c r="K142" s="1028">
        <v>5.5899999999999998E-2</v>
      </c>
      <c r="L142" s="1020">
        <v>5.1900000000000002E-2</v>
      </c>
      <c r="M142" s="1034">
        <v>1.4E-2</v>
      </c>
      <c r="N142" s="1028">
        <v>5.0700000000000002E-2</v>
      </c>
      <c r="O142" s="1023">
        <v>4.6699999999999998E-2</v>
      </c>
      <c r="P142" s="926"/>
      <c r="Q142" s="1035"/>
      <c r="R142" s="926"/>
      <c r="S142" s="1036">
        <v>1.4E-2</v>
      </c>
      <c r="T142" s="1029">
        <v>5.0700000000000002E-2</v>
      </c>
      <c r="U142" s="1029">
        <v>4.6699999999999998E-2</v>
      </c>
      <c r="V142" s="926"/>
      <c r="W142" s="983"/>
      <c r="X142" s="998"/>
      <c r="Y142" s="926"/>
      <c r="Z142" s="1018">
        <v>100</v>
      </c>
      <c r="AA142" s="992">
        <v>750</v>
      </c>
      <c r="AB142" s="993">
        <v>0.2</v>
      </c>
      <c r="AC142" s="988"/>
      <c r="AD142" s="989"/>
      <c r="AE142" s="988"/>
      <c r="AF142" s="989"/>
      <c r="AG142" s="988"/>
      <c r="AH142" s="989"/>
      <c r="AI142" s="988"/>
      <c r="AJ142" s="989"/>
      <c r="AK142" s="921"/>
      <c r="AL142" s="1019">
        <v>100</v>
      </c>
      <c r="AM142" s="1019">
        <v>100</v>
      </c>
      <c r="AN142" s="921"/>
      <c r="AO142" s="992">
        <v>750</v>
      </c>
      <c r="AP142" s="992">
        <v>4</v>
      </c>
      <c r="AQ142" s="1019"/>
      <c r="AR142" s="921"/>
      <c r="AS142" s="921"/>
      <c r="AT142" s="921"/>
      <c r="AU142" s="921"/>
      <c r="AV142" s="921"/>
      <c r="AW142" s="921"/>
      <c r="AX142" s="921"/>
      <c r="AY142" s="921"/>
      <c r="AZ142" s="921"/>
      <c r="BA142" s="921"/>
      <c r="BB142" s="921"/>
      <c r="BC142" s="921"/>
      <c r="BD142" s="921"/>
      <c r="BE142" s="921"/>
      <c r="BF142" s="921"/>
    </row>
    <row r="143" spans="1:58" s="1084" customFormat="1" ht="14.25" thickTop="1" thickBot="1">
      <c r="A143" s="958"/>
      <c r="B143" s="959"/>
      <c r="C143" s="1086" t="s">
        <v>1215</v>
      </c>
      <c r="D143" s="918">
        <v>1.4E-2</v>
      </c>
      <c r="E143" s="1087">
        <v>7.1300000000000002E-2</v>
      </c>
      <c r="F143" s="1088">
        <v>6.7299999999999999E-2</v>
      </c>
      <c r="G143" s="1089">
        <f t="shared" ref="G143:G145" si="22">IF(ISNUMBER($D143),$D143,"")</f>
        <v>1.4E-2</v>
      </c>
      <c r="H143" s="1090">
        <v>6.93E-2</v>
      </c>
      <c r="I143" s="1088">
        <v>6.5299999999999997E-2</v>
      </c>
      <c r="J143" s="1091">
        <f t="shared" ref="J143:J145" si="23">IF(ISNUMBER($D143),$D143,"")</f>
        <v>1.4E-2</v>
      </c>
      <c r="K143" s="1092">
        <v>5.5100000000000003E-2</v>
      </c>
      <c r="L143" s="1088">
        <v>5.11E-2</v>
      </c>
      <c r="M143" s="1093">
        <f t="shared" ref="M143:M145" si="24">IF(ISNUMBER($D143),$D143,"")</f>
        <v>1.4E-2</v>
      </c>
      <c r="N143" s="1092">
        <v>0.05</v>
      </c>
      <c r="O143" s="1094">
        <v>4.5999999999999999E-2</v>
      </c>
      <c r="P143" s="926"/>
      <c r="Q143" s="1035"/>
      <c r="R143" s="926"/>
      <c r="S143" s="1036">
        <f t="shared" si="21"/>
        <v>1.4E-2</v>
      </c>
      <c r="T143" s="1029">
        <v>0.05</v>
      </c>
      <c r="U143" s="1029">
        <v>4.5999999999999999E-2</v>
      </c>
      <c r="V143" s="926"/>
      <c r="W143" s="983"/>
      <c r="X143" s="998"/>
      <c r="Y143" s="926"/>
      <c r="Z143" s="1018">
        <v>100</v>
      </c>
      <c r="AA143" s="992">
        <v>750</v>
      </c>
      <c r="AB143" s="993">
        <v>0.2</v>
      </c>
      <c r="AC143" s="988"/>
      <c r="AD143" s="989"/>
      <c r="AE143" s="988"/>
      <c r="AF143" s="989"/>
      <c r="AG143" s="988"/>
      <c r="AH143" s="989"/>
      <c r="AI143" s="988"/>
      <c r="AJ143" s="989"/>
      <c r="AK143" s="921"/>
      <c r="AL143" s="1019">
        <v>100</v>
      </c>
      <c r="AM143" s="1019">
        <v>100</v>
      </c>
      <c r="AN143" s="921"/>
      <c r="AO143" s="992">
        <v>750</v>
      </c>
      <c r="AP143" s="992">
        <v>4</v>
      </c>
      <c r="AQ143" s="1019"/>
      <c r="AR143" s="921"/>
      <c r="AS143" s="921"/>
      <c r="AT143" s="921"/>
      <c r="AU143" s="921"/>
      <c r="AV143" s="921"/>
      <c r="AW143" s="921"/>
      <c r="AX143" s="921"/>
      <c r="AY143" s="921"/>
      <c r="AZ143" s="921"/>
      <c r="BA143" s="921"/>
      <c r="BB143" s="921"/>
      <c r="BC143" s="921"/>
      <c r="BD143" s="921"/>
      <c r="BE143" s="921"/>
      <c r="BF143" s="921"/>
    </row>
    <row r="144" spans="1:58" s="1084" customFormat="1" ht="14.25" thickTop="1" thickBot="1">
      <c r="A144" s="958"/>
      <c r="B144" s="959"/>
      <c r="C144" s="1086" t="s">
        <v>1216</v>
      </c>
      <c r="D144" s="918">
        <v>1.4E-2</v>
      </c>
      <c r="E144" s="1087">
        <v>7.0300000000000001E-2</v>
      </c>
      <c r="F144" s="1088">
        <v>6.6299999999999998E-2</v>
      </c>
      <c r="G144" s="1089">
        <f t="shared" si="22"/>
        <v>1.4E-2</v>
      </c>
      <c r="H144" s="1090">
        <v>6.8400000000000002E-2</v>
      </c>
      <c r="I144" s="1088">
        <v>6.4399999999999999E-2</v>
      </c>
      <c r="J144" s="1091">
        <f t="shared" si="23"/>
        <v>1.4E-2</v>
      </c>
      <c r="K144" s="1092">
        <v>5.4300000000000001E-2</v>
      </c>
      <c r="L144" s="1088">
        <v>5.0299999999999997E-2</v>
      </c>
      <c r="M144" s="1093">
        <f t="shared" si="24"/>
        <v>1.4E-2</v>
      </c>
      <c r="N144" s="1092">
        <v>4.9299999999999997E-2</v>
      </c>
      <c r="O144" s="1094">
        <v>4.53E-2</v>
      </c>
      <c r="P144" s="926"/>
      <c r="Q144" s="1035"/>
      <c r="R144" s="926"/>
      <c r="S144" s="1036">
        <f t="shared" si="21"/>
        <v>1.4E-2</v>
      </c>
      <c r="T144" s="1029">
        <v>4.9299999999999997E-2</v>
      </c>
      <c r="U144" s="1029">
        <v>4.53E-2</v>
      </c>
      <c r="V144" s="926"/>
      <c r="W144" s="983"/>
      <c r="X144" s="998"/>
      <c r="Y144" s="926"/>
      <c r="Z144" s="1018">
        <v>100</v>
      </c>
      <c r="AA144" s="992">
        <v>750</v>
      </c>
      <c r="AB144" s="993">
        <v>0.2</v>
      </c>
      <c r="AC144" s="988"/>
      <c r="AD144" s="989"/>
      <c r="AE144" s="988"/>
      <c r="AF144" s="989"/>
      <c r="AG144" s="988"/>
      <c r="AH144" s="989"/>
      <c r="AI144" s="988"/>
      <c r="AJ144" s="989"/>
      <c r="AK144" s="921"/>
      <c r="AL144" s="1019">
        <v>100</v>
      </c>
      <c r="AM144" s="1019">
        <v>100</v>
      </c>
      <c r="AN144" s="921"/>
      <c r="AO144" s="992">
        <v>750</v>
      </c>
      <c r="AP144" s="992">
        <v>4</v>
      </c>
      <c r="AQ144" s="1019"/>
      <c r="AR144" s="921"/>
      <c r="AS144" s="921"/>
      <c r="AT144" s="921"/>
      <c r="AU144" s="921"/>
      <c r="AV144" s="921"/>
      <c r="AW144" s="921"/>
      <c r="AX144" s="921"/>
      <c r="AY144" s="921"/>
      <c r="AZ144" s="921"/>
      <c r="BA144" s="921"/>
      <c r="BB144" s="921"/>
      <c r="BC144" s="921"/>
      <c r="BD144" s="921"/>
      <c r="BE144" s="921"/>
      <c r="BF144" s="921"/>
    </row>
    <row r="145" spans="1:58" s="1084" customFormat="1" ht="14.25" thickTop="1" thickBot="1">
      <c r="A145" s="958"/>
      <c r="B145" s="959"/>
      <c r="C145" s="1086" t="s">
        <v>1217</v>
      </c>
      <c r="D145" s="918">
        <v>1.4E-2</v>
      </c>
      <c r="E145" s="1087">
        <v>6.93E-2</v>
      </c>
      <c r="F145" s="1088">
        <v>6.5299999999999997E-2</v>
      </c>
      <c r="G145" s="1089">
        <f t="shared" si="22"/>
        <v>1.4E-2</v>
      </c>
      <c r="H145" s="1090">
        <v>6.7400000000000002E-2</v>
      </c>
      <c r="I145" s="1088">
        <v>6.3399999999999998E-2</v>
      </c>
      <c r="J145" s="1091">
        <f t="shared" si="23"/>
        <v>1.4E-2</v>
      </c>
      <c r="K145" s="1092">
        <v>5.3600000000000002E-2</v>
      </c>
      <c r="L145" s="1088">
        <v>4.9599999999999998E-2</v>
      </c>
      <c r="M145" s="1093">
        <f t="shared" si="24"/>
        <v>1.4E-2</v>
      </c>
      <c r="N145" s="1092">
        <v>4.8599999999999997E-2</v>
      </c>
      <c r="O145" s="1094">
        <v>4.4600000000000001E-2</v>
      </c>
      <c r="P145" s="926"/>
      <c r="Q145" s="1035"/>
      <c r="R145" s="926"/>
      <c r="S145" s="1036">
        <f t="shared" si="21"/>
        <v>1.4E-2</v>
      </c>
      <c r="T145" s="1029">
        <v>4.8599999999999997E-2</v>
      </c>
      <c r="U145" s="1029">
        <v>4.4600000000000001E-2</v>
      </c>
      <c r="V145" s="926"/>
      <c r="W145" s="983"/>
      <c r="X145" s="998"/>
      <c r="Y145" s="926"/>
      <c r="Z145" s="1018">
        <v>100</v>
      </c>
      <c r="AA145" s="992">
        <v>750</v>
      </c>
      <c r="AB145" s="993">
        <v>0.2</v>
      </c>
      <c r="AC145" s="988"/>
      <c r="AD145" s="989"/>
      <c r="AE145" s="988"/>
      <c r="AF145" s="989"/>
      <c r="AG145" s="988"/>
      <c r="AH145" s="989"/>
      <c r="AI145" s="988"/>
      <c r="AJ145" s="989"/>
      <c r="AK145" s="921"/>
      <c r="AL145" s="1019">
        <v>100</v>
      </c>
      <c r="AM145" s="1019">
        <v>100</v>
      </c>
      <c r="AN145" s="921"/>
      <c r="AO145" s="992">
        <v>750</v>
      </c>
      <c r="AP145" s="992">
        <v>4</v>
      </c>
      <c r="AQ145" s="1019"/>
      <c r="AR145" s="921"/>
      <c r="AS145" s="921"/>
      <c r="AT145" s="921"/>
      <c r="AU145" s="921"/>
      <c r="AV145" s="921"/>
      <c r="AW145" s="921"/>
      <c r="AX145" s="921"/>
      <c r="AY145" s="921"/>
      <c r="AZ145" s="921"/>
      <c r="BA145" s="921"/>
      <c r="BB145" s="921"/>
      <c r="BC145" s="921"/>
      <c r="BD145" s="921"/>
      <c r="BE145" s="921"/>
      <c r="BF145" s="921"/>
    </row>
    <row r="146" spans="1:58" s="1216" customFormat="1" ht="14.25" thickTop="1" thickBot="1">
      <c r="A146" s="958"/>
      <c r="B146" s="959"/>
      <c r="C146" s="1086" t="s">
        <v>1227</v>
      </c>
      <c r="D146" s="918">
        <v>1.4E-2</v>
      </c>
      <c r="E146" s="1087">
        <v>6.83E-2</v>
      </c>
      <c r="F146" s="1088">
        <v>6.4299999999999996E-2</v>
      </c>
      <c r="G146" s="1089">
        <f t="shared" si="18"/>
        <v>1.4E-2</v>
      </c>
      <c r="H146" s="1090">
        <v>6.6500000000000004E-2</v>
      </c>
      <c r="I146" s="1088">
        <v>6.25E-2</v>
      </c>
      <c r="J146" s="1091">
        <f t="shared" si="19"/>
        <v>1.4E-2</v>
      </c>
      <c r="K146" s="1092">
        <v>5.28E-2</v>
      </c>
      <c r="L146" s="1088">
        <v>4.8800000000000003E-2</v>
      </c>
      <c r="M146" s="1093">
        <f t="shared" si="20"/>
        <v>1.4E-2</v>
      </c>
      <c r="N146" s="1092">
        <v>4.8000000000000001E-2</v>
      </c>
      <c r="O146" s="1094">
        <v>4.3999999999999997E-2</v>
      </c>
      <c r="P146" s="926"/>
      <c r="Q146" s="1035"/>
      <c r="R146" s="926"/>
      <c r="S146" s="1036">
        <f t="shared" si="21"/>
        <v>1.4E-2</v>
      </c>
      <c r="T146" s="1029">
        <v>4.8000000000000001E-2</v>
      </c>
      <c r="U146" s="1029">
        <v>4.3999999999999997E-2</v>
      </c>
      <c r="V146" s="926"/>
      <c r="W146" s="983"/>
      <c r="X146" s="998"/>
      <c r="Y146" s="926"/>
      <c r="Z146" s="1018">
        <v>100</v>
      </c>
      <c r="AA146" s="992">
        <v>750</v>
      </c>
      <c r="AB146" s="993">
        <v>0.2</v>
      </c>
      <c r="AC146" s="988"/>
      <c r="AD146" s="989"/>
      <c r="AE146" s="988"/>
      <c r="AF146" s="989"/>
      <c r="AG146" s="988"/>
      <c r="AH146" s="989"/>
      <c r="AI146" s="988"/>
      <c r="AJ146" s="989"/>
      <c r="AK146" s="921"/>
      <c r="AL146" s="1019">
        <v>100</v>
      </c>
      <c r="AM146" s="1019">
        <v>100</v>
      </c>
      <c r="AN146" s="921"/>
      <c r="AO146" s="992">
        <v>750</v>
      </c>
      <c r="AP146" s="992">
        <v>4</v>
      </c>
      <c r="AQ146" s="1019"/>
      <c r="AR146" s="921"/>
      <c r="AS146" s="921"/>
      <c r="AT146" s="921"/>
      <c r="AU146" s="921"/>
      <c r="AV146" s="921"/>
      <c r="AW146" s="921"/>
      <c r="AX146" s="921"/>
      <c r="AY146" s="921"/>
      <c r="AZ146" s="921"/>
      <c r="BA146" s="921"/>
      <c r="BB146" s="921"/>
      <c r="BC146" s="921"/>
      <c r="BD146" s="921"/>
      <c r="BE146" s="921"/>
      <c r="BF146" s="921"/>
    </row>
    <row r="147" spans="1:58" s="1216" customFormat="1" ht="14.25" thickTop="1" thickBot="1">
      <c r="A147" s="958"/>
      <c r="B147" s="959"/>
      <c r="C147" s="1086" t="s">
        <v>1228</v>
      </c>
      <c r="D147" s="918">
        <v>1.4E-2</v>
      </c>
      <c r="E147" s="1087">
        <v>6.7400000000000002E-2</v>
      </c>
      <c r="F147" s="1088">
        <v>6.3399999999999998E-2</v>
      </c>
      <c r="G147" s="1089">
        <f t="shared" si="18"/>
        <v>1.4E-2</v>
      </c>
      <c r="H147" s="1090">
        <v>6.5500000000000003E-2</v>
      </c>
      <c r="I147" s="1088">
        <v>6.1499999999999999E-2</v>
      </c>
      <c r="J147" s="1091">
        <f t="shared" si="19"/>
        <v>1.4E-2</v>
      </c>
      <c r="K147" s="1092">
        <v>5.21E-2</v>
      </c>
      <c r="L147" s="1088">
        <v>4.8099999999999997E-2</v>
      </c>
      <c r="M147" s="1093">
        <f t="shared" si="20"/>
        <v>1.4E-2</v>
      </c>
      <c r="N147" s="1092">
        <v>4.7300000000000002E-2</v>
      </c>
      <c r="O147" s="1094">
        <v>4.3299999999999998E-2</v>
      </c>
      <c r="P147" s="926"/>
      <c r="Q147" s="1035"/>
      <c r="R147" s="926"/>
      <c r="S147" s="1036">
        <f t="shared" si="21"/>
        <v>1.4E-2</v>
      </c>
      <c r="T147" s="1029">
        <v>4.7300000000000002E-2</v>
      </c>
      <c r="U147" s="1029">
        <v>4.3299999999999998E-2</v>
      </c>
      <c r="V147" s="926"/>
      <c r="W147" s="983"/>
      <c r="X147" s="998"/>
      <c r="Y147" s="926"/>
      <c r="Z147" s="1018">
        <v>100</v>
      </c>
      <c r="AA147" s="992">
        <v>750</v>
      </c>
      <c r="AB147" s="993">
        <v>0.2</v>
      </c>
      <c r="AC147" s="988"/>
      <c r="AD147" s="989"/>
      <c r="AE147" s="988"/>
      <c r="AF147" s="989"/>
      <c r="AG147" s="988"/>
      <c r="AH147" s="989"/>
      <c r="AI147" s="988"/>
      <c r="AJ147" s="989"/>
      <c r="AK147" s="921"/>
      <c r="AL147" s="1019">
        <v>100</v>
      </c>
      <c r="AM147" s="1019">
        <v>100</v>
      </c>
      <c r="AN147" s="921"/>
      <c r="AO147" s="992">
        <v>750</v>
      </c>
      <c r="AP147" s="992">
        <v>4</v>
      </c>
      <c r="AQ147" s="1019"/>
      <c r="AR147" s="921"/>
      <c r="AS147" s="921"/>
      <c r="AT147" s="921"/>
      <c r="AU147" s="921"/>
      <c r="AV147" s="921"/>
      <c r="AW147" s="921"/>
      <c r="AX147" s="921"/>
      <c r="AY147" s="921"/>
      <c r="AZ147" s="921"/>
      <c r="BA147" s="921"/>
      <c r="BB147" s="921"/>
      <c r="BC147" s="921"/>
      <c r="BD147" s="921"/>
      <c r="BE147" s="921"/>
      <c r="BF147" s="921"/>
    </row>
    <row r="148" spans="1:58" s="1216" customFormat="1" ht="14.25" thickTop="1" thickBot="1">
      <c r="A148" s="958"/>
      <c r="B148" s="959"/>
      <c r="C148" s="1086" t="s">
        <v>1229</v>
      </c>
      <c r="D148" s="918">
        <v>1.4E-2</v>
      </c>
      <c r="E148" s="1087">
        <v>6.6400000000000001E-2</v>
      </c>
      <c r="F148" s="1088">
        <v>6.2399999999999997E-2</v>
      </c>
      <c r="G148" s="1089">
        <f t="shared" si="18"/>
        <v>1.4E-2</v>
      </c>
      <c r="H148" s="1090">
        <v>6.4600000000000005E-2</v>
      </c>
      <c r="I148" s="1088">
        <v>6.0600000000000001E-2</v>
      </c>
      <c r="J148" s="1091">
        <f t="shared" si="19"/>
        <v>1.4E-2</v>
      </c>
      <c r="K148" s="1092">
        <v>5.1400000000000001E-2</v>
      </c>
      <c r="L148" s="1088">
        <v>4.7399999999999998E-2</v>
      </c>
      <c r="M148" s="1093">
        <f t="shared" si="20"/>
        <v>1.4E-2</v>
      </c>
      <c r="N148" s="1092">
        <v>4.6600000000000003E-2</v>
      </c>
      <c r="O148" s="1094">
        <v>4.2599999999999999E-2</v>
      </c>
      <c r="P148" s="926"/>
      <c r="Q148" s="1035"/>
      <c r="R148" s="926"/>
      <c r="S148" s="1036">
        <f t="shared" si="21"/>
        <v>1.4E-2</v>
      </c>
      <c r="T148" s="1029">
        <v>4.6600000000000003E-2</v>
      </c>
      <c r="U148" s="1029">
        <v>4.2599999999999999E-2</v>
      </c>
      <c r="V148" s="926"/>
      <c r="W148" s="983"/>
      <c r="X148" s="998"/>
      <c r="Y148" s="926"/>
      <c r="Z148" s="1018">
        <v>100</v>
      </c>
      <c r="AA148" s="992">
        <v>750</v>
      </c>
      <c r="AB148" s="993">
        <v>0.2</v>
      </c>
      <c r="AC148" s="988"/>
      <c r="AD148" s="989"/>
      <c r="AE148" s="988"/>
      <c r="AF148" s="989"/>
      <c r="AG148" s="988"/>
      <c r="AH148" s="989"/>
      <c r="AI148" s="988"/>
      <c r="AJ148" s="989"/>
      <c r="AK148" s="921"/>
      <c r="AL148" s="1019">
        <v>100</v>
      </c>
      <c r="AM148" s="1019">
        <v>100</v>
      </c>
      <c r="AN148" s="921"/>
      <c r="AO148" s="992">
        <v>750</v>
      </c>
      <c r="AP148" s="992">
        <v>4</v>
      </c>
      <c r="AQ148" s="1019"/>
      <c r="AR148" s="921"/>
      <c r="AS148" s="921"/>
      <c r="AT148" s="921"/>
      <c r="AU148" s="921"/>
      <c r="AV148" s="921"/>
      <c r="AW148" s="921"/>
      <c r="AX148" s="921"/>
      <c r="AY148" s="921"/>
      <c r="AZ148" s="921"/>
      <c r="BA148" s="921"/>
      <c r="BB148" s="921"/>
      <c r="BC148" s="921"/>
      <c r="BD148" s="921"/>
      <c r="BE148" s="921"/>
      <c r="BF148" s="921"/>
    </row>
    <row r="149" spans="1:58" s="1084" customFormat="1" ht="14.25" thickTop="1" thickBot="1">
      <c r="A149" s="958"/>
      <c r="B149" s="959"/>
      <c r="C149" s="883" t="s">
        <v>1100</v>
      </c>
      <c r="D149" s="918"/>
      <c r="E149" s="1037">
        <f t="shared" ref="E149:E164" si="25">IF(ISNUMBER($D149),ROUND(E148*(1-$D149),4),0)</f>
        <v>0</v>
      </c>
      <c r="F149" s="1020">
        <f t="shared" ref="F149:F164" si="26">IF(E149&gt;0,E149-0.004,0)</f>
        <v>0</v>
      </c>
      <c r="G149" s="1032" t="str">
        <f t="shared" si="18"/>
        <v/>
      </c>
      <c r="H149" s="1027">
        <f t="shared" ref="H149:H164" si="27">IF(ISNUMBER($D149),ROUND(H148*(1-$D149),4),0)</f>
        <v>0</v>
      </c>
      <c r="I149" s="1020">
        <f t="shared" ref="I149:I164" si="28">IF(H149&gt;0,H149-0.004,0)</f>
        <v>0</v>
      </c>
      <c r="J149" s="1033" t="str">
        <f t="shared" si="19"/>
        <v/>
      </c>
      <c r="K149" s="1028">
        <f t="shared" ref="K149:K164" si="29">IF(ISNUMBER($D149),ROUND(K148*(1-$D149),4),0)</f>
        <v>0</v>
      </c>
      <c r="L149" s="1020">
        <f t="shared" ref="L149:L164" si="30">IF(K149&gt;0,K149-0.004,0)</f>
        <v>0</v>
      </c>
      <c r="M149" s="1034" t="str">
        <f t="shared" si="20"/>
        <v/>
      </c>
      <c r="N149" s="1028">
        <f t="shared" ref="N149:N164" si="31">IF(ISNUMBER($D149),ROUND(N148*(1-$D149),4),0)</f>
        <v>0</v>
      </c>
      <c r="O149" s="1023">
        <f t="shared" ref="O149:O164" si="32">IF(N149&gt;0,N149-0.004,0)</f>
        <v>0</v>
      </c>
      <c r="P149" s="926"/>
      <c r="Q149" s="1035"/>
      <c r="R149" s="926"/>
      <c r="S149" s="1036" t="str">
        <f t="shared" si="21"/>
        <v/>
      </c>
      <c r="T149" s="1029">
        <f t="shared" ref="T149:T164" si="33">IF(ISNUMBER($D149),ROUND(T148*(1-$D149),4),0)</f>
        <v>0</v>
      </c>
      <c r="U149" s="1029">
        <f t="shared" ref="U149:U164" si="34">IF(T149&gt;0,T149-0.004,0)</f>
        <v>0</v>
      </c>
      <c r="V149" s="926"/>
      <c r="W149" s="983"/>
      <c r="X149" s="998"/>
      <c r="Y149" s="926"/>
      <c r="Z149" s="1018">
        <v>100</v>
      </c>
      <c r="AA149" s="992">
        <v>750</v>
      </c>
      <c r="AB149" s="993">
        <v>0.2</v>
      </c>
      <c r="AC149" s="988"/>
      <c r="AD149" s="989"/>
      <c r="AE149" s="988"/>
      <c r="AF149" s="989"/>
      <c r="AG149" s="988"/>
      <c r="AH149" s="989"/>
      <c r="AI149" s="988"/>
      <c r="AJ149" s="989"/>
      <c r="AK149" s="921"/>
      <c r="AL149" s="1019">
        <v>100</v>
      </c>
      <c r="AM149" s="1019">
        <v>100</v>
      </c>
      <c r="AN149" s="921"/>
      <c r="AO149" s="992">
        <v>750</v>
      </c>
      <c r="AP149" s="992">
        <v>4</v>
      </c>
      <c r="AQ149" s="1019"/>
      <c r="AR149" s="921"/>
      <c r="AS149" s="921"/>
      <c r="AT149" s="921"/>
      <c r="AU149" s="921"/>
      <c r="AV149" s="921"/>
      <c r="AW149" s="921"/>
      <c r="AX149" s="921"/>
      <c r="AY149" s="921"/>
      <c r="AZ149" s="921"/>
      <c r="BA149" s="921"/>
      <c r="BB149" s="921"/>
      <c r="BC149" s="921"/>
      <c r="BD149" s="921"/>
      <c r="BE149" s="921"/>
      <c r="BF149" s="921"/>
    </row>
    <row r="150" spans="1:58" s="1084" customFormat="1" ht="14.25" thickTop="1" thickBot="1">
      <c r="A150" s="958"/>
      <c r="B150" s="959"/>
      <c r="C150" s="883" t="s">
        <v>1101</v>
      </c>
      <c r="D150" s="918"/>
      <c r="E150" s="1037">
        <f t="shared" si="25"/>
        <v>0</v>
      </c>
      <c r="F150" s="1020">
        <f t="shared" si="26"/>
        <v>0</v>
      </c>
      <c r="G150" s="1032" t="str">
        <f t="shared" si="18"/>
        <v/>
      </c>
      <c r="H150" s="1027">
        <f t="shared" si="27"/>
        <v>0</v>
      </c>
      <c r="I150" s="1020">
        <f t="shared" si="28"/>
        <v>0</v>
      </c>
      <c r="J150" s="1033" t="str">
        <f t="shared" si="19"/>
        <v/>
      </c>
      <c r="K150" s="1028">
        <f t="shared" si="29"/>
        <v>0</v>
      </c>
      <c r="L150" s="1020">
        <f t="shared" si="30"/>
        <v>0</v>
      </c>
      <c r="M150" s="1034" t="str">
        <f t="shared" si="20"/>
        <v/>
      </c>
      <c r="N150" s="1028">
        <f t="shared" si="31"/>
        <v>0</v>
      </c>
      <c r="O150" s="1023">
        <f t="shared" si="32"/>
        <v>0</v>
      </c>
      <c r="P150" s="926"/>
      <c r="Q150" s="1035"/>
      <c r="R150" s="926"/>
      <c r="S150" s="1036" t="str">
        <f t="shared" si="21"/>
        <v/>
      </c>
      <c r="T150" s="1029">
        <f t="shared" si="33"/>
        <v>0</v>
      </c>
      <c r="U150" s="1029">
        <f t="shared" si="34"/>
        <v>0</v>
      </c>
      <c r="V150" s="926"/>
      <c r="W150" s="983"/>
      <c r="X150" s="998"/>
      <c r="Y150" s="926"/>
      <c r="Z150" s="1018">
        <v>100</v>
      </c>
      <c r="AA150" s="992">
        <v>750</v>
      </c>
      <c r="AB150" s="993">
        <v>0.2</v>
      </c>
      <c r="AC150" s="988"/>
      <c r="AD150" s="989"/>
      <c r="AE150" s="988"/>
      <c r="AF150" s="989"/>
      <c r="AG150" s="988"/>
      <c r="AH150" s="989"/>
      <c r="AI150" s="988"/>
      <c r="AJ150" s="989"/>
      <c r="AK150" s="921"/>
      <c r="AL150" s="1019">
        <v>100</v>
      </c>
      <c r="AM150" s="1019">
        <v>100</v>
      </c>
      <c r="AN150" s="921"/>
      <c r="AO150" s="992">
        <v>750</v>
      </c>
      <c r="AP150" s="992">
        <v>4</v>
      </c>
      <c r="AQ150" s="1019"/>
      <c r="AR150" s="921"/>
      <c r="AS150" s="921"/>
      <c r="AT150" s="921"/>
      <c r="AU150" s="921"/>
      <c r="AV150" s="921"/>
      <c r="AW150" s="921"/>
      <c r="AX150" s="921"/>
      <c r="AY150" s="921"/>
      <c r="AZ150" s="921"/>
      <c r="BA150" s="921"/>
      <c r="BB150" s="921"/>
      <c r="BC150" s="921"/>
      <c r="BD150" s="921"/>
      <c r="BE150" s="921"/>
      <c r="BF150" s="921"/>
    </row>
    <row r="151" spans="1:58" s="1084" customFormat="1" ht="14.25" thickTop="1" thickBot="1">
      <c r="A151" s="958"/>
      <c r="B151" s="959"/>
      <c r="C151" s="883" t="s">
        <v>1102</v>
      </c>
      <c r="D151" s="918"/>
      <c r="E151" s="1037">
        <f t="shared" si="25"/>
        <v>0</v>
      </c>
      <c r="F151" s="1020">
        <f t="shared" si="26"/>
        <v>0</v>
      </c>
      <c r="G151" s="1032" t="str">
        <f t="shared" si="18"/>
        <v/>
      </c>
      <c r="H151" s="1027">
        <f t="shared" si="27"/>
        <v>0</v>
      </c>
      <c r="I151" s="1020">
        <f t="shared" si="28"/>
        <v>0</v>
      </c>
      <c r="J151" s="1033" t="str">
        <f t="shared" si="19"/>
        <v/>
      </c>
      <c r="K151" s="1028">
        <f t="shared" si="29"/>
        <v>0</v>
      </c>
      <c r="L151" s="1020">
        <f t="shared" si="30"/>
        <v>0</v>
      </c>
      <c r="M151" s="1034" t="str">
        <f t="shared" si="20"/>
        <v/>
      </c>
      <c r="N151" s="1028">
        <f t="shared" si="31"/>
        <v>0</v>
      </c>
      <c r="O151" s="1023">
        <f t="shared" si="32"/>
        <v>0</v>
      </c>
      <c r="P151" s="926"/>
      <c r="Q151" s="1035"/>
      <c r="R151" s="926"/>
      <c r="S151" s="1036" t="str">
        <f t="shared" si="21"/>
        <v/>
      </c>
      <c r="T151" s="1029">
        <f t="shared" si="33"/>
        <v>0</v>
      </c>
      <c r="U151" s="1029">
        <f t="shared" si="34"/>
        <v>0</v>
      </c>
      <c r="V151" s="926"/>
      <c r="W151" s="983"/>
      <c r="X151" s="998"/>
      <c r="Y151" s="926"/>
      <c r="Z151" s="1018">
        <v>100</v>
      </c>
      <c r="AA151" s="992">
        <v>750</v>
      </c>
      <c r="AB151" s="993">
        <v>0.2</v>
      </c>
      <c r="AC151" s="988"/>
      <c r="AD151" s="989"/>
      <c r="AE151" s="988"/>
      <c r="AF151" s="989"/>
      <c r="AG151" s="988"/>
      <c r="AH151" s="989"/>
      <c r="AI151" s="988"/>
      <c r="AJ151" s="989"/>
      <c r="AK151" s="921"/>
      <c r="AL151" s="1019">
        <v>100</v>
      </c>
      <c r="AM151" s="1019">
        <v>100</v>
      </c>
      <c r="AN151" s="921"/>
      <c r="AO151" s="992">
        <v>750</v>
      </c>
      <c r="AP151" s="992">
        <v>4</v>
      </c>
      <c r="AQ151" s="1019"/>
      <c r="AR151" s="921"/>
      <c r="AS151" s="921"/>
      <c r="AT151" s="921"/>
      <c r="AU151" s="921"/>
      <c r="AV151" s="921"/>
      <c r="AW151" s="921"/>
      <c r="AX151" s="921"/>
      <c r="AY151" s="921"/>
      <c r="AZ151" s="921"/>
      <c r="BA151" s="921"/>
      <c r="BB151" s="921"/>
      <c r="BC151" s="921"/>
      <c r="BD151" s="921"/>
      <c r="BE151" s="921"/>
      <c r="BF151" s="921"/>
    </row>
    <row r="152" spans="1:58" s="1084" customFormat="1" ht="14.25" thickTop="1" thickBot="1">
      <c r="A152" s="958"/>
      <c r="B152" s="959"/>
      <c r="C152" s="883" t="s">
        <v>1103</v>
      </c>
      <c r="D152" s="918"/>
      <c r="E152" s="1037">
        <f t="shared" si="25"/>
        <v>0</v>
      </c>
      <c r="F152" s="1020">
        <f t="shared" si="26"/>
        <v>0</v>
      </c>
      <c r="G152" s="1032" t="str">
        <f t="shared" si="18"/>
        <v/>
      </c>
      <c r="H152" s="1027">
        <f t="shared" si="27"/>
        <v>0</v>
      </c>
      <c r="I152" s="1020">
        <f t="shared" si="28"/>
        <v>0</v>
      </c>
      <c r="J152" s="1033" t="str">
        <f t="shared" si="19"/>
        <v/>
      </c>
      <c r="K152" s="1028">
        <f t="shared" si="29"/>
        <v>0</v>
      </c>
      <c r="L152" s="1020">
        <f t="shared" si="30"/>
        <v>0</v>
      </c>
      <c r="M152" s="1034" t="str">
        <f t="shared" si="20"/>
        <v/>
      </c>
      <c r="N152" s="1028">
        <f t="shared" si="31"/>
        <v>0</v>
      </c>
      <c r="O152" s="1023">
        <f t="shared" si="32"/>
        <v>0</v>
      </c>
      <c r="P152" s="926"/>
      <c r="Q152" s="1035"/>
      <c r="R152" s="926"/>
      <c r="S152" s="1036" t="str">
        <f t="shared" si="21"/>
        <v/>
      </c>
      <c r="T152" s="1029">
        <f t="shared" si="33"/>
        <v>0</v>
      </c>
      <c r="U152" s="1029">
        <f t="shared" si="34"/>
        <v>0</v>
      </c>
      <c r="V152" s="926"/>
      <c r="W152" s="983"/>
      <c r="X152" s="998"/>
      <c r="Y152" s="926"/>
      <c r="Z152" s="1018">
        <v>100</v>
      </c>
      <c r="AA152" s="992">
        <v>750</v>
      </c>
      <c r="AB152" s="993">
        <v>0.2</v>
      </c>
      <c r="AC152" s="988"/>
      <c r="AD152" s="989"/>
      <c r="AE152" s="988"/>
      <c r="AF152" s="989"/>
      <c r="AG152" s="988"/>
      <c r="AH152" s="989"/>
      <c r="AI152" s="988"/>
      <c r="AJ152" s="989"/>
      <c r="AK152" s="921"/>
      <c r="AL152" s="1019">
        <v>100</v>
      </c>
      <c r="AM152" s="1019">
        <v>100</v>
      </c>
      <c r="AN152" s="921"/>
      <c r="AO152" s="992">
        <v>750</v>
      </c>
      <c r="AP152" s="992">
        <v>4</v>
      </c>
      <c r="AQ152" s="1019"/>
      <c r="AR152" s="921"/>
      <c r="AS152" s="921"/>
      <c r="AT152" s="921"/>
      <c r="AU152" s="921"/>
      <c r="AV152" s="921"/>
      <c r="AW152" s="921"/>
      <c r="AX152" s="921"/>
      <c r="AY152" s="921"/>
      <c r="AZ152" s="921"/>
      <c r="BA152" s="921"/>
      <c r="BB152" s="921"/>
      <c r="BC152" s="921"/>
      <c r="BD152" s="921"/>
      <c r="BE152" s="921"/>
      <c r="BF152" s="921"/>
    </row>
    <row r="153" spans="1:58" s="1084" customFormat="1" ht="14.25" thickTop="1" thickBot="1">
      <c r="A153" s="958"/>
      <c r="B153" s="959"/>
      <c r="C153" s="883" t="s">
        <v>1104</v>
      </c>
      <c r="D153" s="918"/>
      <c r="E153" s="1037">
        <f t="shared" si="25"/>
        <v>0</v>
      </c>
      <c r="F153" s="1020">
        <f t="shared" si="26"/>
        <v>0</v>
      </c>
      <c r="G153" s="1032" t="str">
        <f t="shared" si="18"/>
        <v/>
      </c>
      <c r="H153" s="1027">
        <f t="shared" si="27"/>
        <v>0</v>
      </c>
      <c r="I153" s="1020">
        <f t="shared" si="28"/>
        <v>0</v>
      </c>
      <c r="J153" s="1033" t="str">
        <f t="shared" si="19"/>
        <v/>
      </c>
      <c r="K153" s="1028">
        <f t="shared" si="29"/>
        <v>0</v>
      </c>
      <c r="L153" s="1020">
        <f t="shared" si="30"/>
        <v>0</v>
      </c>
      <c r="M153" s="1034" t="str">
        <f t="shared" si="20"/>
        <v/>
      </c>
      <c r="N153" s="1028">
        <f t="shared" si="31"/>
        <v>0</v>
      </c>
      <c r="O153" s="1023">
        <f t="shared" si="32"/>
        <v>0</v>
      </c>
      <c r="P153" s="926"/>
      <c r="Q153" s="1035"/>
      <c r="R153" s="926"/>
      <c r="S153" s="1036" t="str">
        <f t="shared" si="21"/>
        <v/>
      </c>
      <c r="T153" s="1029">
        <f t="shared" si="33"/>
        <v>0</v>
      </c>
      <c r="U153" s="1029">
        <f t="shared" si="34"/>
        <v>0</v>
      </c>
      <c r="V153" s="926"/>
      <c r="W153" s="983"/>
      <c r="X153" s="998"/>
      <c r="Y153" s="926"/>
      <c r="Z153" s="1018">
        <v>100</v>
      </c>
      <c r="AA153" s="992">
        <v>750</v>
      </c>
      <c r="AB153" s="993">
        <v>0.2</v>
      </c>
      <c r="AC153" s="988"/>
      <c r="AD153" s="989"/>
      <c r="AE153" s="988"/>
      <c r="AF153" s="989"/>
      <c r="AG153" s="988"/>
      <c r="AH153" s="989"/>
      <c r="AI153" s="988"/>
      <c r="AJ153" s="989"/>
      <c r="AK153" s="921"/>
      <c r="AL153" s="1019">
        <v>100</v>
      </c>
      <c r="AM153" s="1019">
        <v>100</v>
      </c>
      <c r="AN153" s="921"/>
      <c r="AO153" s="992">
        <v>750</v>
      </c>
      <c r="AP153" s="992">
        <v>4</v>
      </c>
      <c r="AQ153" s="1019"/>
      <c r="AR153" s="921"/>
      <c r="AS153" s="921"/>
      <c r="AT153" s="921"/>
      <c r="AU153" s="921"/>
      <c r="AV153" s="921"/>
      <c r="AW153" s="921"/>
      <c r="AX153" s="921"/>
      <c r="AY153" s="921"/>
      <c r="AZ153" s="921"/>
      <c r="BA153" s="921"/>
      <c r="BB153" s="921"/>
      <c r="BC153" s="921"/>
      <c r="BD153" s="921"/>
      <c r="BE153" s="921"/>
      <c r="BF153" s="921"/>
    </row>
    <row r="154" spans="1:58" s="1084" customFormat="1" ht="14.25" thickTop="1" thickBot="1">
      <c r="A154" s="958"/>
      <c r="B154" s="959"/>
      <c r="C154" s="883" t="s">
        <v>1105</v>
      </c>
      <c r="D154" s="918"/>
      <c r="E154" s="1037">
        <f t="shared" si="25"/>
        <v>0</v>
      </c>
      <c r="F154" s="1020">
        <f t="shared" si="26"/>
        <v>0</v>
      </c>
      <c r="G154" s="1032" t="str">
        <f t="shared" si="18"/>
        <v/>
      </c>
      <c r="H154" s="1027">
        <f t="shared" si="27"/>
        <v>0</v>
      </c>
      <c r="I154" s="1020">
        <f t="shared" si="28"/>
        <v>0</v>
      </c>
      <c r="J154" s="1033" t="str">
        <f t="shared" si="19"/>
        <v/>
      </c>
      <c r="K154" s="1028">
        <f t="shared" si="29"/>
        <v>0</v>
      </c>
      <c r="L154" s="1020">
        <f t="shared" si="30"/>
        <v>0</v>
      </c>
      <c r="M154" s="1034" t="str">
        <f t="shared" si="20"/>
        <v/>
      </c>
      <c r="N154" s="1028">
        <f t="shared" si="31"/>
        <v>0</v>
      </c>
      <c r="O154" s="1023">
        <f t="shared" si="32"/>
        <v>0</v>
      </c>
      <c r="P154" s="926"/>
      <c r="Q154" s="1035"/>
      <c r="R154" s="926"/>
      <c r="S154" s="1036" t="str">
        <f t="shared" si="21"/>
        <v/>
      </c>
      <c r="T154" s="1029">
        <f t="shared" si="33"/>
        <v>0</v>
      </c>
      <c r="U154" s="1029">
        <f t="shared" si="34"/>
        <v>0</v>
      </c>
      <c r="V154" s="926"/>
      <c r="W154" s="983"/>
      <c r="X154" s="998"/>
      <c r="Y154" s="926"/>
      <c r="Z154" s="1018">
        <v>100</v>
      </c>
      <c r="AA154" s="992">
        <v>750</v>
      </c>
      <c r="AB154" s="993">
        <v>0.2</v>
      </c>
      <c r="AC154" s="988"/>
      <c r="AD154" s="989"/>
      <c r="AE154" s="988"/>
      <c r="AF154" s="989"/>
      <c r="AG154" s="988"/>
      <c r="AH154" s="989"/>
      <c r="AI154" s="988"/>
      <c r="AJ154" s="989"/>
      <c r="AK154" s="921"/>
      <c r="AL154" s="1019">
        <v>100</v>
      </c>
      <c r="AM154" s="1019">
        <v>100</v>
      </c>
      <c r="AN154" s="921"/>
      <c r="AO154" s="992">
        <v>750</v>
      </c>
      <c r="AP154" s="992">
        <v>4</v>
      </c>
      <c r="AQ154" s="1019"/>
      <c r="AR154" s="921"/>
      <c r="AS154" s="921"/>
      <c r="AT154" s="921"/>
      <c r="AU154" s="921"/>
      <c r="AV154" s="921"/>
      <c r="AW154" s="921"/>
      <c r="AX154" s="921"/>
      <c r="AY154" s="921"/>
      <c r="AZ154" s="921"/>
      <c r="BA154" s="921"/>
      <c r="BB154" s="921"/>
      <c r="BC154" s="921"/>
      <c r="BD154" s="921"/>
      <c r="BE154" s="921"/>
      <c r="BF154" s="921"/>
    </row>
    <row r="155" spans="1:58" s="1084" customFormat="1" ht="14.25" thickTop="1" thickBot="1">
      <c r="A155" s="958"/>
      <c r="B155" s="959"/>
      <c r="C155" s="883" t="s">
        <v>1106</v>
      </c>
      <c r="D155" s="918"/>
      <c r="E155" s="1037">
        <f t="shared" si="25"/>
        <v>0</v>
      </c>
      <c r="F155" s="1020">
        <f t="shared" si="26"/>
        <v>0</v>
      </c>
      <c r="G155" s="1032" t="str">
        <f t="shared" si="18"/>
        <v/>
      </c>
      <c r="H155" s="1027">
        <f t="shared" si="27"/>
        <v>0</v>
      </c>
      <c r="I155" s="1020">
        <f t="shared" si="28"/>
        <v>0</v>
      </c>
      <c r="J155" s="1033" t="str">
        <f t="shared" si="19"/>
        <v/>
      </c>
      <c r="K155" s="1028">
        <f t="shared" si="29"/>
        <v>0</v>
      </c>
      <c r="L155" s="1020">
        <f t="shared" si="30"/>
        <v>0</v>
      </c>
      <c r="M155" s="1034" t="str">
        <f t="shared" si="20"/>
        <v/>
      </c>
      <c r="N155" s="1028">
        <f t="shared" si="31"/>
        <v>0</v>
      </c>
      <c r="O155" s="1023">
        <f t="shared" si="32"/>
        <v>0</v>
      </c>
      <c r="P155" s="926"/>
      <c r="Q155" s="1035"/>
      <c r="R155" s="926"/>
      <c r="S155" s="1036" t="str">
        <f t="shared" si="21"/>
        <v/>
      </c>
      <c r="T155" s="1029">
        <f t="shared" si="33"/>
        <v>0</v>
      </c>
      <c r="U155" s="1029">
        <f t="shared" si="34"/>
        <v>0</v>
      </c>
      <c r="V155" s="926"/>
      <c r="W155" s="983"/>
      <c r="X155" s="998"/>
      <c r="Y155" s="926"/>
      <c r="Z155" s="1018">
        <v>100</v>
      </c>
      <c r="AA155" s="992">
        <v>750</v>
      </c>
      <c r="AB155" s="993">
        <v>0.2</v>
      </c>
      <c r="AC155" s="988"/>
      <c r="AD155" s="989"/>
      <c r="AE155" s="988"/>
      <c r="AF155" s="989"/>
      <c r="AG155" s="988"/>
      <c r="AH155" s="989"/>
      <c r="AI155" s="988"/>
      <c r="AJ155" s="989"/>
      <c r="AK155" s="921"/>
      <c r="AL155" s="1019">
        <v>100</v>
      </c>
      <c r="AM155" s="1019">
        <v>100</v>
      </c>
      <c r="AN155" s="921"/>
      <c r="AO155" s="992">
        <v>750</v>
      </c>
      <c r="AP155" s="992">
        <v>4</v>
      </c>
      <c r="AQ155" s="1019"/>
      <c r="AR155" s="921"/>
      <c r="AS155" s="921"/>
      <c r="AT155" s="921"/>
      <c r="AU155" s="921"/>
      <c r="AV155" s="921"/>
      <c r="AW155" s="921"/>
      <c r="AX155" s="921"/>
      <c r="AY155" s="921"/>
      <c r="AZ155" s="921"/>
      <c r="BA155" s="921"/>
      <c r="BB155" s="921"/>
      <c r="BC155" s="921"/>
      <c r="BD155" s="921"/>
      <c r="BE155" s="921"/>
      <c r="BF155" s="921"/>
    </row>
    <row r="156" spans="1:58" s="1084" customFormat="1" ht="14.25" thickTop="1" thickBot="1">
      <c r="A156" s="958"/>
      <c r="B156" s="959"/>
      <c r="C156" s="883" t="s">
        <v>1107</v>
      </c>
      <c r="D156" s="918"/>
      <c r="E156" s="1037">
        <f t="shared" si="25"/>
        <v>0</v>
      </c>
      <c r="F156" s="1020">
        <f t="shared" si="26"/>
        <v>0</v>
      </c>
      <c r="G156" s="1032" t="str">
        <f t="shared" si="18"/>
        <v/>
      </c>
      <c r="H156" s="1027">
        <f t="shared" si="27"/>
        <v>0</v>
      </c>
      <c r="I156" s="1020">
        <f t="shared" si="28"/>
        <v>0</v>
      </c>
      <c r="J156" s="1033" t="str">
        <f t="shared" si="19"/>
        <v/>
      </c>
      <c r="K156" s="1028">
        <f t="shared" si="29"/>
        <v>0</v>
      </c>
      <c r="L156" s="1020">
        <f t="shared" si="30"/>
        <v>0</v>
      </c>
      <c r="M156" s="1034" t="str">
        <f t="shared" si="20"/>
        <v/>
      </c>
      <c r="N156" s="1028">
        <f t="shared" si="31"/>
        <v>0</v>
      </c>
      <c r="O156" s="1023">
        <f t="shared" si="32"/>
        <v>0</v>
      </c>
      <c r="P156" s="926"/>
      <c r="Q156" s="1035"/>
      <c r="R156" s="926"/>
      <c r="S156" s="1036" t="str">
        <f t="shared" si="21"/>
        <v/>
      </c>
      <c r="T156" s="1029">
        <f t="shared" si="33"/>
        <v>0</v>
      </c>
      <c r="U156" s="1029">
        <f t="shared" si="34"/>
        <v>0</v>
      </c>
      <c r="V156" s="926"/>
      <c r="W156" s="983"/>
      <c r="X156" s="998"/>
      <c r="Y156" s="926"/>
      <c r="Z156" s="1018">
        <v>100</v>
      </c>
      <c r="AA156" s="992">
        <v>750</v>
      </c>
      <c r="AB156" s="993">
        <v>0.2</v>
      </c>
      <c r="AC156" s="988"/>
      <c r="AD156" s="989"/>
      <c r="AE156" s="988"/>
      <c r="AF156" s="989"/>
      <c r="AG156" s="988"/>
      <c r="AH156" s="989"/>
      <c r="AI156" s="988"/>
      <c r="AJ156" s="989"/>
      <c r="AK156" s="921"/>
      <c r="AL156" s="1019">
        <v>100</v>
      </c>
      <c r="AM156" s="1019">
        <v>100</v>
      </c>
      <c r="AN156" s="921"/>
      <c r="AO156" s="992">
        <v>750</v>
      </c>
      <c r="AP156" s="992">
        <v>4</v>
      </c>
      <c r="AQ156" s="1019"/>
      <c r="AR156" s="921"/>
      <c r="AS156" s="921"/>
      <c r="AT156" s="921"/>
      <c r="AU156" s="921"/>
      <c r="AV156" s="921"/>
      <c r="AW156" s="921"/>
      <c r="AX156" s="921"/>
      <c r="AY156" s="921"/>
      <c r="AZ156" s="921"/>
      <c r="BA156" s="921"/>
      <c r="BB156" s="921"/>
      <c r="BC156" s="921"/>
      <c r="BD156" s="921"/>
      <c r="BE156" s="921"/>
      <c r="BF156" s="921"/>
    </row>
    <row r="157" spans="1:58" s="1084" customFormat="1" ht="14.25" thickTop="1" thickBot="1">
      <c r="A157" s="958"/>
      <c r="B157" s="959"/>
      <c r="C157" s="883" t="s">
        <v>1108</v>
      </c>
      <c r="D157" s="918"/>
      <c r="E157" s="1037">
        <f t="shared" si="25"/>
        <v>0</v>
      </c>
      <c r="F157" s="1020">
        <f t="shared" si="26"/>
        <v>0</v>
      </c>
      <c r="G157" s="1032" t="str">
        <f t="shared" si="18"/>
        <v/>
      </c>
      <c r="H157" s="1027">
        <f t="shared" si="27"/>
        <v>0</v>
      </c>
      <c r="I157" s="1020">
        <f t="shared" si="28"/>
        <v>0</v>
      </c>
      <c r="J157" s="1033" t="str">
        <f t="shared" si="19"/>
        <v/>
      </c>
      <c r="K157" s="1028">
        <f t="shared" si="29"/>
        <v>0</v>
      </c>
      <c r="L157" s="1020">
        <f t="shared" si="30"/>
        <v>0</v>
      </c>
      <c r="M157" s="1034" t="str">
        <f t="shared" si="20"/>
        <v/>
      </c>
      <c r="N157" s="1028">
        <f t="shared" si="31"/>
        <v>0</v>
      </c>
      <c r="O157" s="1023">
        <f t="shared" si="32"/>
        <v>0</v>
      </c>
      <c r="P157" s="926"/>
      <c r="Q157" s="1035"/>
      <c r="R157" s="926"/>
      <c r="S157" s="1036" t="str">
        <f t="shared" si="21"/>
        <v/>
      </c>
      <c r="T157" s="1029">
        <f t="shared" si="33"/>
        <v>0</v>
      </c>
      <c r="U157" s="1029">
        <f t="shared" si="34"/>
        <v>0</v>
      </c>
      <c r="V157" s="926"/>
      <c r="W157" s="983"/>
      <c r="X157" s="998"/>
      <c r="Y157" s="926"/>
      <c r="Z157" s="1018">
        <v>100</v>
      </c>
      <c r="AA157" s="992">
        <v>750</v>
      </c>
      <c r="AB157" s="993">
        <v>0.2</v>
      </c>
      <c r="AC157" s="988"/>
      <c r="AD157" s="989"/>
      <c r="AE157" s="988"/>
      <c r="AF157" s="989"/>
      <c r="AG157" s="988"/>
      <c r="AH157" s="989"/>
      <c r="AI157" s="988"/>
      <c r="AJ157" s="989"/>
      <c r="AK157" s="921"/>
      <c r="AL157" s="1019">
        <v>100</v>
      </c>
      <c r="AM157" s="1019">
        <v>100</v>
      </c>
      <c r="AN157" s="921"/>
      <c r="AO157" s="992">
        <v>750</v>
      </c>
      <c r="AP157" s="992">
        <v>4</v>
      </c>
      <c r="AQ157" s="1019"/>
      <c r="AR157" s="921"/>
      <c r="AS157" s="921"/>
      <c r="AT157" s="921"/>
      <c r="AU157" s="921"/>
      <c r="AV157" s="921"/>
      <c r="AW157" s="921"/>
      <c r="AX157" s="921"/>
      <c r="AY157" s="921"/>
      <c r="AZ157" s="921"/>
      <c r="BA157" s="921"/>
      <c r="BB157" s="921"/>
      <c r="BC157" s="921"/>
      <c r="BD157" s="921"/>
      <c r="BE157" s="921"/>
      <c r="BF157" s="921"/>
    </row>
    <row r="158" spans="1:58" s="1084" customFormat="1" ht="14.25" thickTop="1" thickBot="1">
      <c r="A158" s="958"/>
      <c r="B158" s="959"/>
      <c r="C158" s="883" t="s">
        <v>1109</v>
      </c>
      <c r="D158" s="918"/>
      <c r="E158" s="1037">
        <f t="shared" si="25"/>
        <v>0</v>
      </c>
      <c r="F158" s="1020">
        <f t="shared" si="26"/>
        <v>0</v>
      </c>
      <c r="G158" s="1032" t="str">
        <f t="shared" si="18"/>
        <v/>
      </c>
      <c r="H158" s="1027">
        <f t="shared" si="27"/>
        <v>0</v>
      </c>
      <c r="I158" s="1020">
        <f t="shared" si="28"/>
        <v>0</v>
      </c>
      <c r="J158" s="1033" t="str">
        <f t="shared" si="19"/>
        <v/>
      </c>
      <c r="K158" s="1028">
        <f t="shared" si="29"/>
        <v>0</v>
      </c>
      <c r="L158" s="1020">
        <f t="shared" si="30"/>
        <v>0</v>
      </c>
      <c r="M158" s="1034" t="str">
        <f t="shared" si="20"/>
        <v/>
      </c>
      <c r="N158" s="1028">
        <f t="shared" si="31"/>
        <v>0</v>
      </c>
      <c r="O158" s="1023">
        <f t="shared" si="32"/>
        <v>0</v>
      </c>
      <c r="P158" s="926"/>
      <c r="Q158" s="1035"/>
      <c r="R158" s="926"/>
      <c r="S158" s="1036" t="str">
        <f t="shared" si="21"/>
        <v/>
      </c>
      <c r="T158" s="1029">
        <f t="shared" si="33"/>
        <v>0</v>
      </c>
      <c r="U158" s="1029">
        <f t="shared" si="34"/>
        <v>0</v>
      </c>
      <c r="V158" s="926"/>
      <c r="W158" s="983"/>
      <c r="X158" s="998"/>
      <c r="Y158" s="926"/>
      <c r="Z158" s="1018">
        <v>100</v>
      </c>
      <c r="AA158" s="992">
        <v>750</v>
      </c>
      <c r="AB158" s="993">
        <v>0.2</v>
      </c>
      <c r="AC158" s="988"/>
      <c r="AD158" s="989"/>
      <c r="AE158" s="988"/>
      <c r="AF158" s="989"/>
      <c r="AG158" s="988"/>
      <c r="AH158" s="989"/>
      <c r="AI158" s="988"/>
      <c r="AJ158" s="989"/>
      <c r="AK158" s="921"/>
      <c r="AL158" s="1019">
        <v>100</v>
      </c>
      <c r="AM158" s="1019">
        <v>100</v>
      </c>
      <c r="AN158" s="921"/>
      <c r="AO158" s="992">
        <v>750</v>
      </c>
      <c r="AP158" s="992">
        <v>4</v>
      </c>
      <c r="AQ158" s="1019"/>
      <c r="AR158" s="921"/>
      <c r="AS158" s="921"/>
      <c r="AT158" s="921"/>
      <c r="AU158" s="921"/>
      <c r="AV158" s="921"/>
      <c r="AW158" s="921"/>
      <c r="AX158" s="921"/>
      <c r="AY158" s="921"/>
      <c r="AZ158" s="921"/>
      <c r="BA158" s="921"/>
      <c r="BB158" s="921"/>
      <c r="BC158" s="921"/>
      <c r="BD158" s="921"/>
      <c r="BE158" s="921"/>
      <c r="BF158" s="921"/>
    </row>
    <row r="159" spans="1:58" s="1084" customFormat="1" ht="14.25" thickTop="1" thickBot="1">
      <c r="A159" s="958"/>
      <c r="B159" s="959"/>
      <c r="C159" s="883" t="s">
        <v>1110</v>
      </c>
      <c r="D159" s="918"/>
      <c r="E159" s="1037">
        <f t="shared" si="25"/>
        <v>0</v>
      </c>
      <c r="F159" s="1020">
        <f t="shared" si="26"/>
        <v>0</v>
      </c>
      <c r="G159" s="1032" t="str">
        <f t="shared" si="18"/>
        <v/>
      </c>
      <c r="H159" s="1027">
        <f t="shared" si="27"/>
        <v>0</v>
      </c>
      <c r="I159" s="1020">
        <f t="shared" si="28"/>
        <v>0</v>
      </c>
      <c r="J159" s="1033" t="str">
        <f t="shared" si="19"/>
        <v/>
      </c>
      <c r="K159" s="1028">
        <f t="shared" si="29"/>
        <v>0</v>
      </c>
      <c r="L159" s="1020">
        <f t="shared" si="30"/>
        <v>0</v>
      </c>
      <c r="M159" s="1034" t="str">
        <f t="shared" si="20"/>
        <v/>
      </c>
      <c r="N159" s="1028">
        <f t="shared" si="31"/>
        <v>0</v>
      </c>
      <c r="O159" s="1023">
        <f t="shared" si="32"/>
        <v>0</v>
      </c>
      <c r="P159" s="926"/>
      <c r="Q159" s="1035"/>
      <c r="R159" s="926"/>
      <c r="S159" s="1036" t="str">
        <f t="shared" si="21"/>
        <v/>
      </c>
      <c r="T159" s="1029">
        <f t="shared" si="33"/>
        <v>0</v>
      </c>
      <c r="U159" s="1029">
        <f t="shared" si="34"/>
        <v>0</v>
      </c>
      <c r="V159" s="926"/>
      <c r="W159" s="983"/>
      <c r="X159" s="998"/>
      <c r="Y159" s="926"/>
      <c r="Z159" s="1018">
        <v>100</v>
      </c>
      <c r="AA159" s="992">
        <v>750</v>
      </c>
      <c r="AB159" s="993">
        <v>0.2</v>
      </c>
      <c r="AC159" s="988"/>
      <c r="AD159" s="989"/>
      <c r="AE159" s="988"/>
      <c r="AF159" s="989"/>
      <c r="AG159" s="988"/>
      <c r="AH159" s="989"/>
      <c r="AI159" s="988"/>
      <c r="AJ159" s="989"/>
      <c r="AK159" s="921"/>
      <c r="AL159" s="1019">
        <v>100</v>
      </c>
      <c r="AM159" s="1019">
        <v>100</v>
      </c>
      <c r="AN159" s="921"/>
      <c r="AO159" s="992">
        <v>750</v>
      </c>
      <c r="AP159" s="992">
        <v>4</v>
      </c>
      <c r="AQ159" s="1019"/>
      <c r="AR159" s="921"/>
      <c r="AS159" s="921"/>
      <c r="AT159" s="921"/>
      <c r="AU159" s="921"/>
      <c r="AV159" s="921"/>
      <c r="AW159" s="921"/>
      <c r="AX159" s="921"/>
      <c r="AY159" s="921"/>
      <c r="AZ159" s="921"/>
      <c r="BA159" s="921"/>
      <c r="BB159" s="921"/>
      <c r="BC159" s="921"/>
      <c r="BD159" s="921"/>
      <c r="BE159" s="921"/>
      <c r="BF159" s="921"/>
    </row>
    <row r="160" spans="1:58" s="1084" customFormat="1" ht="14.25" thickTop="1" thickBot="1">
      <c r="A160" s="958"/>
      <c r="B160" s="959"/>
      <c r="C160" s="883" t="s">
        <v>1111</v>
      </c>
      <c r="D160" s="918"/>
      <c r="E160" s="1037">
        <f t="shared" si="25"/>
        <v>0</v>
      </c>
      <c r="F160" s="1020">
        <f t="shared" si="26"/>
        <v>0</v>
      </c>
      <c r="G160" s="1032" t="str">
        <f t="shared" si="18"/>
        <v/>
      </c>
      <c r="H160" s="1027">
        <f t="shared" si="27"/>
        <v>0</v>
      </c>
      <c r="I160" s="1020">
        <f t="shared" si="28"/>
        <v>0</v>
      </c>
      <c r="J160" s="1033" t="str">
        <f t="shared" si="19"/>
        <v/>
      </c>
      <c r="K160" s="1028">
        <f t="shared" si="29"/>
        <v>0</v>
      </c>
      <c r="L160" s="1020">
        <f t="shared" si="30"/>
        <v>0</v>
      </c>
      <c r="M160" s="1034" t="str">
        <f t="shared" si="20"/>
        <v/>
      </c>
      <c r="N160" s="1028">
        <f t="shared" si="31"/>
        <v>0</v>
      </c>
      <c r="O160" s="1023">
        <f t="shared" si="32"/>
        <v>0</v>
      </c>
      <c r="P160" s="926"/>
      <c r="Q160" s="1035"/>
      <c r="R160" s="926"/>
      <c r="S160" s="1036" t="str">
        <f t="shared" si="21"/>
        <v/>
      </c>
      <c r="T160" s="1029">
        <f t="shared" si="33"/>
        <v>0</v>
      </c>
      <c r="U160" s="1029">
        <f t="shared" si="34"/>
        <v>0</v>
      </c>
      <c r="V160" s="926"/>
      <c r="W160" s="983"/>
      <c r="X160" s="998"/>
      <c r="Y160" s="926"/>
      <c r="Z160" s="1018">
        <v>100</v>
      </c>
      <c r="AA160" s="992">
        <v>750</v>
      </c>
      <c r="AB160" s="993">
        <v>0.2</v>
      </c>
      <c r="AC160" s="988"/>
      <c r="AD160" s="989"/>
      <c r="AE160" s="988"/>
      <c r="AF160" s="989"/>
      <c r="AG160" s="988"/>
      <c r="AH160" s="989"/>
      <c r="AI160" s="988"/>
      <c r="AJ160" s="989"/>
      <c r="AK160" s="921"/>
      <c r="AL160" s="1019">
        <v>100</v>
      </c>
      <c r="AM160" s="1019">
        <v>100</v>
      </c>
      <c r="AN160" s="921"/>
      <c r="AO160" s="992">
        <v>750</v>
      </c>
      <c r="AP160" s="992">
        <v>4</v>
      </c>
      <c r="AQ160" s="1019"/>
      <c r="AR160" s="921"/>
      <c r="AS160" s="921"/>
      <c r="AT160" s="921"/>
      <c r="AU160" s="921"/>
      <c r="AV160" s="921"/>
      <c r="AW160" s="921"/>
      <c r="AX160" s="921"/>
      <c r="AY160" s="921"/>
      <c r="AZ160" s="921"/>
      <c r="BA160" s="921"/>
      <c r="BB160" s="921"/>
      <c r="BC160" s="921"/>
      <c r="BD160" s="921"/>
      <c r="BE160" s="921"/>
      <c r="BF160" s="921"/>
    </row>
    <row r="161" spans="1:58" s="1084" customFormat="1" ht="14.25" thickTop="1" thickBot="1">
      <c r="A161" s="958"/>
      <c r="B161" s="959"/>
      <c r="C161" s="883" t="s">
        <v>1112</v>
      </c>
      <c r="D161" s="918"/>
      <c r="E161" s="1037">
        <f t="shared" si="25"/>
        <v>0</v>
      </c>
      <c r="F161" s="1020">
        <f t="shared" si="26"/>
        <v>0</v>
      </c>
      <c r="G161" s="1032" t="str">
        <f t="shared" si="18"/>
        <v/>
      </c>
      <c r="H161" s="1027">
        <f t="shared" si="27"/>
        <v>0</v>
      </c>
      <c r="I161" s="1020">
        <f t="shared" si="28"/>
        <v>0</v>
      </c>
      <c r="J161" s="1033" t="str">
        <f t="shared" si="19"/>
        <v/>
      </c>
      <c r="K161" s="1028">
        <f t="shared" si="29"/>
        <v>0</v>
      </c>
      <c r="L161" s="1020">
        <f t="shared" si="30"/>
        <v>0</v>
      </c>
      <c r="M161" s="1034" t="str">
        <f t="shared" si="20"/>
        <v/>
      </c>
      <c r="N161" s="1028">
        <f t="shared" si="31"/>
        <v>0</v>
      </c>
      <c r="O161" s="1023">
        <f t="shared" si="32"/>
        <v>0</v>
      </c>
      <c r="P161" s="926"/>
      <c r="Q161" s="1035"/>
      <c r="R161" s="926"/>
      <c r="S161" s="1036" t="str">
        <f t="shared" si="21"/>
        <v/>
      </c>
      <c r="T161" s="1029">
        <f t="shared" si="33"/>
        <v>0</v>
      </c>
      <c r="U161" s="1029">
        <f t="shared" si="34"/>
        <v>0</v>
      </c>
      <c r="V161" s="926"/>
      <c r="W161" s="983"/>
      <c r="X161" s="998"/>
      <c r="Y161" s="926"/>
      <c r="Z161" s="1018">
        <v>100</v>
      </c>
      <c r="AA161" s="992">
        <v>750</v>
      </c>
      <c r="AB161" s="993">
        <v>0.2</v>
      </c>
      <c r="AC161" s="988"/>
      <c r="AD161" s="989"/>
      <c r="AE161" s="988"/>
      <c r="AF161" s="989"/>
      <c r="AG161" s="988"/>
      <c r="AH161" s="989"/>
      <c r="AI161" s="988"/>
      <c r="AJ161" s="989"/>
      <c r="AK161" s="921"/>
      <c r="AL161" s="1019">
        <v>100</v>
      </c>
      <c r="AM161" s="1019">
        <v>100</v>
      </c>
      <c r="AN161" s="921"/>
      <c r="AO161" s="992">
        <v>750</v>
      </c>
      <c r="AP161" s="992">
        <v>4</v>
      </c>
      <c r="AQ161" s="1019"/>
      <c r="AR161" s="921"/>
      <c r="AS161" s="921"/>
      <c r="AT161" s="921"/>
      <c r="AU161" s="921"/>
      <c r="AV161" s="921"/>
      <c r="AW161" s="921"/>
      <c r="AX161" s="921"/>
      <c r="AY161" s="921"/>
      <c r="AZ161" s="921"/>
      <c r="BA161" s="921"/>
      <c r="BB161" s="921"/>
      <c r="BC161" s="921"/>
      <c r="BD161" s="921"/>
      <c r="BE161" s="921"/>
      <c r="BF161" s="921"/>
    </row>
    <row r="162" spans="1:58" s="1084" customFormat="1" ht="14.25" thickTop="1" thickBot="1">
      <c r="A162" s="958"/>
      <c r="B162" s="959"/>
      <c r="C162" s="883" t="s">
        <v>1113</v>
      </c>
      <c r="D162" s="918"/>
      <c r="E162" s="1037">
        <f t="shared" si="25"/>
        <v>0</v>
      </c>
      <c r="F162" s="1020">
        <f t="shared" si="26"/>
        <v>0</v>
      </c>
      <c r="G162" s="1032" t="str">
        <f t="shared" si="18"/>
        <v/>
      </c>
      <c r="H162" s="1027">
        <f t="shared" si="27"/>
        <v>0</v>
      </c>
      <c r="I162" s="1020">
        <f t="shared" si="28"/>
        <v>0</v>
      </c>
      <c r="J162" s="1033" t="str">
        <f t="shared" si="19"/>
        <v/>
      </c>
      <c r="K162" s="1028">
        <f t="shared" si="29"/>
        <v>0</v>
      </c>
      <c r="L162" s="1020">
        <f t="shared" si="30"/>
        <v>0</v>
      </c>
      <c r="M162" s="1034" t="str">
        <f t="shared" si="20"/>
        <v/>
      </c>
      <c r="N162" s="1028">
        <f t="shared" si="31"/>
        <v>0</v>
      </c>
      <c r="O162" s="1023">
        <f t="shared" si="32"/>
        <v>0</v>
      </c>
      <c r="P162" s="926"/>
      <c r="Q162" s="1035"/>
      <c r="R162" s="926"/>
      <c r="S162" s="1036" t="str">
        <f t="shared" si="21"/>
        <v/>
      </c>
      <c r="T162" s="1029">
        <f t="shared" si="33"/>
        <v>0</v>
      </c>
      <c r="U162" s="1029">
        <f t="shared" si="34"/>
        <v>0</v>
      </c>
      <c r="V162" s="926"/>
      <c r="W162" s="983"/>
      <c r="X162" s="998"/>
      <c r="Y162" s="926"/>
      <c r="Z162" s="1018">
        <v>100</v>
      </c>
      <c r="AA162" s="992">
        <v>750</v>
      </c>
      <c r="AB162" s="993">
        <v>0.2</v>
      </c>
      <c r="AC162" s="988"/>
      <c r="AD162" s="989"/>
      <c r="AE162" s="988"/>
      <c r="AF162" s="989"/>
      <c r="AG162" s="988"/>
      <c r="AH162" s="989"/>
      <c r="AI162" s="988"/>
      <c r="AJ162" s="989"/>
      <c r="AK162" s="921"/>
      <c r="AL162" s="1019">
        <v>100</v>
      </c>
      <c r="AM162" s="1019">
        <v>100</v>
      </c>
      <c r="AN162" s="921"/>
      <c r="AO162" s="992">
        <v>750</v>
      </c>
      <c r="AP162" s="992">
        <v>4</v>
      </c>
      <c r="AQ162" s="1019"/>
      <c r="AR162" s="921"/>
      <c r="AS162" s="921"/>
      <c r="AT162" s="921"/>
      <c r="AU162" s="921"/>
      <c r="AV162" s="921"/>
      <c r="AW162" s="921"/>
      <c r="AX162" s="921"/>
      <c r="AY162" s="921"/>
      <c r="AZ162" s="921"/>
      <c r="BA162" s="921"/>
      <c r="BB162" s="921"/>
      <c r="BC162" s="921"/>
      <c r="BD162" s="921"/>
      <c r="BE162" s="921"/>
      <c r="BF162" s="921"/>
    </row>
    <row r="163" spans="1:58" s="1084" customFormat="1" ht="14.25" thickTop="1" thickBot="1">
      <c r="A163" s="958"/>
      <c r="B163" s="959"/>
      <c r="C163" s="883" t="s">
        <v>1114</v>
      </c>
      <c r="D163" s="918"/>
      <c r="E163" s="1037">
        <f t="shared" si="25"/>
        <v>0</v>
      </c>
      <c r="F163" s="1020">
        <f t="shared" si="26"/>
        <v>0</v>
      </c>
      <c r="G163" s="1032" t="str">
        <f t="shared" si="18"/>
        <v/>
      </c>
      <c r="H163" s="1027">
        <f t="shared" si="27"/>
        <v>0</v>
      </c>
      <c r="I163" s="1020">
        <f t="shared" si="28"/>
        <v>0</v>
      </c>
      <c r="J163" s="1033" t="str">
        <f t="shared" si="19"/>
        <v/>
      </c>
      <c r="K163" s="1028">
        <f t="shared" si="29"/>
        <v>0</v>
      </c>
      <c r="L163" s="1020">
        <f t="shared" si="30"/>
        <v>0</v>
      </c>
      <c r="M163" s="1034" t="str">
        <f t="shared" si="20"/>
        <v/>
      </c>
      <c r="N163" s="1028">
        <f t="shared" si="31"/>
        <v>0</v>
      </c>
      <c r="O163" s="1023">
        <f t="shared" si="32"/>
        <v>0</v>
      </c>
      <c r="P163" s="926"/>
      <c r="Q163" s="1035"/>
      <c r="R163" s="926"/>
      <c r="S163" s="1036" t="str">
        <f t="shared" si="21"/>
        <v/>
      </c>
      <c r="T163" s="1029">
        <f t="shared" si="33"/>
        <v>0</v>
      </c>
      <c r="U163" s="1029">
        <f t="shared" si="34"/>
        <v>0</v>
      </c>
      <c r="V163" s="926"/>
      <c r="W163" s="983"/>
      <c r="X163" s="998"/>
      <c r="Y163" s="926"/>
      <c r="Z163" s="1018">
        <v>100</v>
      </c>
      <c r="AA163" s="992">
        <v>750</v>
      </c>
      <c r="AB163" s="993">
        <v>0.2</v>
      </c>
      <c r="AC163" s="988"/>
      <c r="AD163" s="989"/>
      <c r="AE163" s="988"/>
      <c r="AF163" s="989"/>
      <c r="AG163" s="988"/>
      <c r="AH163" s="989"/>
      <c r="AI163" s="988"/>
      <c r="AJ163" s="989"/>
      <c r="AK163" s="921"/>
      <c r="AL163" s="1019">
        <v>100</v>
      </c>
      <c r="AM163" s="1019">
        <v>100</v>
      </c>
      <c r="AN163" s="921"/>
      <c r="AO163" s="992">
        <v>750</v>
      </c>
      <c r="AP163" s="992">
        <v>4</v>
      </c>
      <c r="AQ163" s="1019"/>
      <c r="AR163" s="921"/>
      <c r="AS163" s="921"/>
      <c r="AT163" s="921"/>
      <c r="AU163" s="921"/>
      <c r="AV163" s="921"/>
      <c r="AW163" s="921"/>
      <c r="AX163" s="921"/>
      <c r="AY163" s="921"/>
      <c r="AZ163" s="921"/>
      <c r="BA163" s="921"/>
      <c r="BB163" s="921"/>
      <c r="BC163" s="921"/>
      <c r="BD163" s="921"/>
      <c r="BE163" s="921"/>
      <c r="BF163" s="921"/>
    </row>
    <row r="164" spans="1:58" s="1084" customFormat="1" ht="14.25" thickTop="1" thickBot="1">
      <c r="A164" s="958"/>
      <c r="B164" s="959"/>
      <c r="C164" s="883" t="s">
        <v>1115</v>
      </c>
      <c r="D164" s="918"/>
      <c r="E164" s="1037">
        <f t="shared" si="25"/>
        <v>0</v>
      </c>
      <c r="F164" s="1020">
        <f t="shared" si="26"/>
        <v>0</v>
      </c>
      <c r="G164" s="1032" t="str">
        <f t="shared" si="18"/>
        <v/>
      </c>
      <c r="H164" s="1027">
        <f t="shared" si="27"/>
        <v>0</v>
      </c>
      <c r="I164" s="1020">
        <f t="shared" si="28"/>
        <v>0</v>
      </c>
      <c r="J164" s="1033" t="str">
        <f t="shared" si="19"/>
        <v/>
      </c>
      <c r="K164" s="1028">
        <f t="shared" si="29"/>
        <v>0</v>
      </c>
      <c r="L164" s="1020">
        <f t="shared" si="30"/>
        <v>0</v>
      </c>
      <c r="M164" s="1034" t="str">
        <f t="shared" si="20"/>
        <v/>
      </c>
      <c r="N164" s="1028">
        <f t="shared" si="31"/>
        <v>0</v>
      </c>
      <c r="O164" s="1023">
        <f t="shared" si="32"/>
        <v>0</v>
      </c>
      <c r="P164" s="926"/>
      <c r="Q164" s="1035"/>
      <c r="R164" s="926"/>
      <c r="S164" s="1036" t="str">
        <f t="shared" si="21"/>
        <v/>
      </c>
      <c r="T164" s="1029">
        <f t="shared" si="33"/>
        <v>0</v>
      </c>
      <c r="U164" s="1029">
        <f t="shared" si="34"/>
        <v>0</v>
      </c>
      <c r="V164" s="926"/>
      <c r="W164" s="983"/>
      <c r="X164" s="998"/>
      <c r="Y164" s="926"/>
      <c r="Z164" s="1018">
        <v>100</v>
      </c>
      <c r="AA164" s="992">
        <v>750</v>
      </c>
      <c r="AB164" s="993">
        <v>0.2</v>
      </c>
      <c r="AC164" s="988"/>
      <c r="AD164" s="989"/>
      <c r="AE164" s="988"/>
      <c r="AF164" s="989"/>
      <c r="AG164" s="988"/>
      <c r="AH164" s="989"/>
      <c r="AI164" s="988"/>
      <c r="AJ164" s="989"/>
      <c r="AK164" s="921"/>
      <c r="AL164" s="1019">
        <v>100</v>
      </c>
      <c r="AM164" s="1019">
        <v>100</v>
      </c>
      <c r="AN164" s="921"/>
      <c r="AO164" s="992">
        <v>750</v>
      </c>
      <c r="AP164" s="992">
        <v>4</v>
      </c>
      <c r="AQ164" s="1019"/>
      <c r="AR164" s="921"/>
      <c r="AS164" s="921"/>
      <c r="AT164" s="921"/>
      <c r="AU164" s="921"/>
      <c r="AV164" s="921"/>
      <c r="AW164" s="921"/>
      <c r="AX164" s="921"/>
      <c r="AY164" s="921"/>
      <c r="AZ164" s="921"/>
      <c r="BA164" s="921"/>
      <c r="BB164" s="921"/>
      <c r="BC164" s="921"/>
      <c r="BD164" s="921"/>
      <c r="BE164" s="921"/>
      <c r="BF164" s="921"/>
    </row>
    <row r="165" spans="1:58" ht="14.25" thickTop="1" thickBot="1">
      <c r="A165" s="958">
        <v>129</v>
      </c>
      <c r="B165" s="959">
        <v>12</v>
      </c>
      <c r="C165" s="883" t="s">
        <v>1116</v>
      </c>
      <c r="D165" s="918"/>
      <c r="E165" s="1037">
        <f>IF(ISNUMBER($D165),ROUND(E140*(1-$D165),4),0)</f>
        <v>0</v>
      </c>
      <c r="F165" s="1020">
        <f t="shared" ref="F165" si="35">IF(E165&gt;0,E165-0.004,0)</f>
        <v>0</v>
      </c>
      <c r="G165" s="1032" t="str">
        <f t="shared" si="18"/>
        <v/>
      </c>
      <c r="H165" s="1027">
        <f>IF(ISNUMBER($D165),ROUND(H140*(1-$D165),4),0)</f>
        <v>0</v>
      </c>
      <c r="I165" s="1020">
        <f t="shared" ref="I165" si="36">IF(H165&gt;0,H165-0.004,0)</f>
        <v>0</v>
      </c>
      <c r="J165" s="1033" t="str">
        <f t="shared" si="19"/>
        <v/>
      </c>
      <c r="K165" s="1028">
        <f>IF(ISNUMBER($D165),ROUND(K140*(1-$D165),4),0)</f>
        <v>0</v>
      </c>
      <c r="L165" s="1020">
        <f t="shared" ref="L165" si="37">IF(K165&gt;0,K165-0.004,0)</f>
        <v>0</v>
      </c>
      <c r="M165" s="1034" t="str">
        <f t="shared" si="20"/>
        <v/>
      </c>
      <c r="N165" s="1028">
        <f>IF(ISNUMBER($D165),ROUND(N140*(1-$D165),4),0)</f>
        <v>0</v>
      </c>
      <c r="O165" s="1023">
        <f t="shared" ref="O165" si="38">IF(N165&gt;0,N165-0.004,0)</f>
        <v>0</v>
      </c>
      <c r="P165" s="926"/>
      <c r="Q165" s="1035"/>
      <c r="R165" s="926"/>
      <c r="S165" s="1036" t="str">
        <f t="shared" si="21"/>
        <v/>
      </c>
      <c r="T165" s="1029">
        <f>IF(ISNUMBER($D165),ROUND(T140*(1-$D165),4),0)</f>
        <v>0</v>
      </c>
      <c r="U165" s="1029">
        <f t="shared" ref="U165" si="39">IF(T165&gt;0,T165-0.004,0)</f>
        <v>0</v>
      </c>
      <c r="V165" s="926"/>
      <c r="W165" s="983"/>
      <c r="X165" s="998"/>
      <c r="Y165" s="926"/>
      <c r="Z165" s="1018">
        <v>100</v>
      </c>
      <c r="AA165" s="992">
        <v>750</v>
      </c>
      <c r="AB165" s="993">
        <v>0.2</v>
      </c>
      <c r="AC165" s="988"/>
      <c r="AD165" s="989"/>
      <c r="AE165" s="988"/>
      <c r="AF165" s="989"/>
      <c r="AG165" s="988"/>
      <c r="AH165" s="989"/>
      <c r="AI165" s="988"/>
      <c r="AJ165" s="989"/>
      <c r="AK165" s="921"/>
      <c r="AL165" s="1019">
        <v>100</v>
      </c>
      <c r="AM165" s="1019">
        <v>100</v>
      </c>
      <c r="AN165" s="921"/>
      <c r="AO165" s="992">
        <v>750</v>
      </c>
      <c r="AP165" s="992">
        <v>4</v>
      </c>
      <c r="AQ165" s="1019"/>
      <c r="AR165" s="921"/>
      <c r="AS165" s="921"/>
      <c r="AT165" s="921"/>
      <c r="AU165" s="921"/>
      <c r="AV165" s="921"/>
      <c r="AW165" s="921"/>
      <c r="AX165" s="921"/>
      <c r="AY165" s="921"/>
      <c r="AZ165" s="921"/>
      <c r="BA165" s="921"/>
      <c r="BB165" s="921"/>
      <c r="BC165" s="921"/>
      <c r="BD165" s="921"/>
      <c r="BE165" s="921"/>
      <c r="BF165" s="921"/>
    </row>
    <row r="166" spans="1:58" ht="6" customHeight="1" thickTop="1">
      <c r="A166" s="882"/>
      <c r="B166" s="882"/>
      <c r="C166" s="1038"/>
      <c r="D166" s="921"/>
      <c r="E166" s="921"/>
      <c r="F166" s="921"/>
      <c r="G166" s="921"/>
      <c r="H166" s="921"/>
      <c r="I166" s="921"/>
      <c r="J166" s="921"/>
      <c r="K166" s="921"/>
      <c r="L166" s="921"/>
      <c r="M166" s="921"/>
      <c r="N166" s="921"/>
      <c r="O166" s="921"/>
      <c r="P166" s="921"/>
      <c r="Q166" s="921"/>
      <c r="R166" s="921"/>
      <c r="S166" s="921"/>
      <c r="T166" s="921"/>
      <c r="U166" s="921"/>
      <c r="V166" s="921"/>
      <c r="W166" s="921"/>
      <c r="X166" s="921"/>
      <c r="Y166" s="921"/>
      <c r="Z166" s="1039"/>
      <c r="AA166" s="921"/>
      <c r="AB166" s="921"/>
      <c r="AC166" s="921"/>
      <c r="AD166" s="921"/>
      <c r="AE166" s="921"/>
      <c r="AF166" s="921"/>
      <c r="AG166" s="921"/>
      <c r="AH166" s="921"/>
      <c r="AI166" s="921"/>
      <c r="AJ166" s="921"/>
      <c r="AK166" s="921"/>
      <c r="AL166" s="921"/>
      <c r="AM166" s="921"/>
      <c r="AN166" s="921"/>
      <c r="AO166" s="921"/>
      <c r="AP166" s="921"/>
      <c r="AQ166" s="921"/>
      <c r="AR166" s="921"/>
      <c r="AS166" s="921"/>
      <c r="AT166" s="921"/>
      <c r="AU166" s="921"/>
      <c r="AV166" s="921"/>
      <c r="AW166" s="921"/>
      <c r="AX166" s="921"/>
      <c r="AY166" s="921"/>
      <c r="AZ166" s="921"/>
      <c r="BA166" s="921"/>
      <c r="BB166" s="921"/>
      <c r="BC166" s="921"/>
      <c r="BD166" s="921"/>
      <c r="BE166" s="921"/>
    </row>
    <row r="167" spans="1:58" ht="6" customHeight="1">
      <c r="A167" s="882"/>
      <c r="B167" s="882"/>
      <c r="C167" s="1038"/>
      <c r="D167" s="921"/>
      <c r="E167" s="921"/>
      <c r="F167" s="921"/>
      <c r="G167" s="921"/>
      <c r="H167" s="921"/>
      <c r="I167" s="921"/>
      <c r="J167" s="921"/>
      <c r="K167" s="921"/>
      <c r="L167" s="921"/>
      <c r="M167" s="921"/>
      <c r="N167" s="921"/>
      <c r="O167" s="921"/>
      <c r="P167" s="921"/>
      <c r="Q167" s="921"/>
      <c r="R167" s="921"/>
      <c r="S167" s="921"/>
      <c r="T167" s="921"/>
      <c r="U167" s="921"/>
      <c r="V167" s="921"/>
      <c r="W167" s="921"/>
      <c r="X167" s="921"/>
      <c r="Y167" s="921"/>
      <c r="Z167" s="924"/>
      <c r="AA167" s="921"/>
      <c r="AB167" s="921"/>
      <c r="AC167" s="921"/>
      <c r="AD167" s="921"/>
      <c r="AE167" s="921"/>
      <c r="AF167" s="921"/>
      <c r="AG167" s="921"/>
      <c r="AH167" s="921"/>
      <c r="AI167" s="921"/>
      <c r="AJ167" s="921"/>
      <c r="AK167" s="921"/>
      <c r="AL167" s="921"/>
      <c r="AM167" s="921"/>
      <c r="AN167" s="921"/>
      <c r="AO167" s="921"/>
      <c r="AP167" s="921"/>
      <c r="AQ167" s="921"/>
      <c r="AR167" s="921"/>
      <c r="AS167" s="921"/>
      <c r="AT167" s="921"/>
      <c r="AU167" s="921"/>
      <c r="AV167" s="921"/>
      <c r="AW167" s="921"/>
      <c r="AX167" s="921"/>
      <c r="AY167" s="921"/>
      <c r="AZ167" s="921"/>
      <c r="BA167" s="921"/>
      <c r="BB167" s="921"/>
      <c r="BC167" s="921"/>
      <c r="BD167" s="921"/>
      <c r="BE167" s="921"/>
    </row>
    <row r="168" spans="1:58" ht="13.7" customHeight="1">
      <c r="A168" s="1040"/>
      <c r="B168" s="1040"/>
      <c r="C168" s="1041" t="s">
        <v>831</v>
      </c>
      <c r="D168" s="921"/>
      <c r="E168" s="921"/>
      <c r="F168" s="921"/>
      <c r="G168" s="921"/>
      <c r="H168" s="921"/>
      <c r="I168" s="921"/>
      <c r="J168" s="921"/>
      <c r="K168" s="921"/>
      <c r="L168" s="921"/>
      <c r="M168" s="921"/>
      <c r="N168" s="921"/>
      <c r="O168" s="921"/>
      <c r="P168" s="921"/>
      <c r="Q168" s="921"/>
      <c r="R168" s="921"/>
      <c r="S168" s="921"/>
      <c r="T168" s="921"/>
      <c r="U168" s="921"/>
      <c r="V168" s="921"/>
      <c r="W168" s="921"/>
      <c r="X168" s="921"/>
      <c r="Y168" s="921"/>
      <c r="Z168" s="924"/>
      <c r="AA168" s="921"/>
      <c r="AB168" s="921"/>
      <c r="AC168" s="921"/>
      <c r="AD168" s="921"/>
      <c r="AE168" s="921"/>
      <c r="AF168" s="921"/>
      <c r="AG168" s="921"/>
      <c r="AH168" s="921"/>
      <c r="AI168" s="921"/>
      <c r="AJ168" s="921"/>
      <c r="AK168" s="921"/>
      <c r="AL168" s="921"/>
      <c r="AM168" s="921"/>
      <c r="AN168" s="921"/>
      <c r="AO168" s="921"/>
      <c r="AP168" s="921"/>
      <c r="AQ168" s="921"/>
      <c r="AR168" s="921"/>
      <c r="AS168" s="921"/>
      <c r="AT168" s="921"/>
      <c r="AU168" s="921"/>
      <c r="AV168" s="921"/>
      <c r="AW168" s="921"/>
      <c r="AX168" s="921"/>
      <c r="AY168" s="921"/>
      <c r="AZ168" s="921"/>
      <c r="BA168" s="921"/>
      <c r="BB168" s="921"/>
      <c r="BC168" s="921"/>
      <c r="BD168" s="921"/>
      <c r="BE168" s="921"/>
    </row>
    <row r="169" spans="1:58" ht="13.7" customHeight="1">
      <c r="A169" s="1040"/>
      <c r="B169" s="1040"/>
      <c r="C169" s="1041" t="s">
        <v>832</v>
      </c>
      <c r="D169" s="921"/>
      <c r="E169" s="921"/>
      <c r="F169" s="921"/>
      <c r="G169" s="921"/>
      <c r="H169" s="921"/>
      <c r="I169" s="921"/>
      <c r="J169" s="921"/>
      <c r="K169" s="921"/>
      <c r="L169" s="921"/>
      <c r="M169" s="921"/>
      <c r="N169" s="921"/>
      <c r="O169" s="921"/>
      <c r="P169" s="921"/>
      <c r="Q169" s="921"/>
      <c r="R169" s="921"/>
      <c r="S169" s="921"/>
      <c r="T169" s="921"/>
      <c r="U169" s="921"/>
      <c r="V169" s="921"/>
      <c r="W169" s="921"/>
      <c r="X169" s="921"/>
      <c r="Y169" s="921"/>
      <c r="Z169" s="924"/>
      <c r="AA169" s="921"/>
      <c r="AB169" s="921"/>
      <c r="AC169" s="921"/>
      <c r="AD169" s="921"/>
      <c r="AE169" s="921"/>
      <c r="AF169" s="921"/>
      <c r="AG169" s="921"/>
      <c r="AH169" s="921"/>
      <c r="AI169" s="921"/>
      <c r="AJ169" s="921"/>
      <c r="AK169" s="921"/>
      <c r="AL169" s="921"/>
      <c r="AM169" s="921"/>
      <c r="AN169" s="921"/>
      <c r="AO169" s="921"/>
      <c r="AP169" s="921"/>
      <c r="AQ169" s="921"/>
      <c r="AR169" s="921"/>
      <c r="AS169" s="921"/>
      <c r="AT169" s="921"/>
      <c r="AU169" s="921"/>
      <c r="AV169" s="921"/>
      <c r="AW169" s="921"/>
      <c r="AX169" s="921"/>
      <c r="AY169" s="921"/>
      <c r="AZ169" s="921"/>
      <c r="BA169" s="921"/>
      <c r="BB169" s="921"/>
      <c r="BC169" s="921"/>
      <c r="BD169" s="921"/>
      <c r="BE169" s="921"/>
    </row>
    <row r="170" spans="1:58" ht="15.4" customHeight="1">
      <c r="A170" s="882"/>
      <c r="B170" s="882"/>
      <c r="C170" s="1042" t="s">
        <v>833</v>
      </c>
      <c r="D170" s="921"/>
      <c r="E170" s="921"/>
      <c r="F170" s="921"/>
      <c r="G170" s="921"/>
      <c r="H170" s="921"/>
      <c r="I170" s="921"/>
      <c r="J170" s="921"/>
      <c r="K170" s="921"/>
      <c r="L170" s="921"/>
      <c r="M170" s="921"/>
      <c r="N170" s="921"/>
      <c r="O170" s="921"/>
      <c r="P170" s="921"/>
      <c r="Q170" s="921"/>
      <c r="R170" s="921"/>
      <c r="S170" s="921"/>
      <c r="T170" s="921"/>
      <c r="U170" s="921"/>
      <c r="V170" s="921"/>
      <c r="W170" s="921"/>
      <c r="X170" s="921"/>
      <c r="Y170" s="921"/>
      <c r="Z170" s="924"/>
      <c r="AA170" s="921"/>
      <c r="AB170" s="921"/>
      <c r="AC170" s="921"/>
      <c r="AD170" s="921"/>
      <c r="AE170" s="921"/>
      <c r="AF170" s="921"/>
      <c r="AG170" s="921"/>
      <c r="AH170" s="921"/>
      <c r="AI170" s="921"/>
      <c r="AJ170" s="921"/>
      <c r="AK170" s="921"/>
      <c r="AL170" s="921"/>
      <c r="AM170" s="921"/>
      <c r="AN170" s="921"/>
      <c r="AO170" s="921"/>
      <c r="AP170" s="921"/>
      <c r="AQ170" s="921"/>
      <c r="AR170" s="921"/>
      <c r="AS170" s="921"/>
      <c r="AT170" s="921"/>
      <c r="AU170" s="921"/>
      <c r="AV170" s="921"/>
      <c r="AW170" s="921"/>
      <c r="AX170" s="921"/>
      <c r="AY170" s="921"/>
      <c r="AZ170" s="921"/>
      <c r="BA170" s="921"/>
      <c r="BB170" s="921"/>
      <c r="BC170" s="921"/>
      <c r="BD170" s="921"/>
      <c r="BE170" s="921"/>
    </row>
    <row r="171" spans="1:58" ht="15.4" customHeight="1">
      <c r="A171" s="882"/>
      <c r="B171" s="882"/>
      <c r="C171" s="1042" t="s">
        <v>834</v>
      </c>
      <c r="D171" s="921"/>
      <c r="E171" s="921"/>
      <c r="F171" s="921"/>
      <c r="G171" s="921"/>
      <c r="H171" s="921"/>
      <c r="I171" s="921"/>
      <c r="J171" s="921"/>
      <c r="K171" s="921"/>
      <c r="L171" s="921"/>
      <c r="M171" s="921"/>
      <c r="N171" s="921"/>
      <c r="O171" s="921"/>
      <c r="P171" s="921"/>
      <c r="Q171" s="921"/>
      <c r="R171" s="921"/>
      <c r="S171" s="921"/>
      <c r="T171" s="921"/>
      <c r="U171" s="921"/>
      <c r="V171" s="921"/>
      <c r="W171" s="921"/>
      <c r="X171" s="921"/>
      <c r="Y171" s="921"/>
      <c r="Z171" s="924"/>
      <c r="AA171" s="921"/>
      <c r="AB171" s="921"/>
      <c r="AC171" s="921"/>
      <c r="AD171" s="921"/>
      <c r="AE171" s="921"/>
      <c r="AF171" s="921"/>
      <c r="AG171" s="921"/>
      <c r="AH171" s="921"/>
      <c r="AI171" s="921"/>
      <c r="AJ171" s="921"/>
      <c r="AK171" s="921"/>
      <c r="AL171" s="921"/>
      <c r="AM171" s="921"/>
      <c r="AN171" s="921"/>
      <c r="AO171" s="921"/>
      <c r="AP171" s="921"/>
      <c r="AQ171" s="921"/>
      <c r="AR171" s="921"/>
      <c r="AS171" s="921"/>
      <c r="AT171" s="921"/>
      <c r="AU171" s="921"/>
      <c r="AV171" s="921"/>
      <c r="AW171" s="921"/>
      <c r="AX171" s="921"/>
      <c r="AY171" s="921"/>
      <c r="AZ171" s="921"/>
      <c r="BA171" s="921"/>
      <c r="BB171" s="921"/>
      <c r="BC171" s="921"/>
      <c r="BD171" s="921"/>
      <c r="BE171" s="921"/>
    </row>
    <row r="172" spans="1:58" ht="15.4" customHeight="1">
      <c r="A172" s="882"/>
      <c r="B172" s="882"/>
      <c r="C172" s="1042" t="s">
        <v>835</v>
      </c>
      <c r="D172" s="921"/>
      <c r="E172" s="921"/>
      <c r="F172" s="921"/>
      <c r="G172" s="921"/>
      <c r="H172" s="921"/>
      <c r="I172" s="921"/>
      <c r="J172" s="921"/>
      <c r="K172" s="921"/>
      <c r="L172" s="921"/>
      <c r="M172" s="921"/>
      <c r="N172" s="921"/>
      <c r="O172" s="921"/>
      <c r="P172" s="921"/>
      <c r="Q172" s="921"/>
      <c r="R172" s="921"/>
      <c r="S172" s="921"/>
      <c r="T172" s="921"/>
      <c r="U172" s="921"/>
      <c r="V172" s="921"/>
      <c r="W172" s="921"/>
      <c r="X172" s="921"/>
      <c r="Y172" s="921"/>
      <c r="Z172" s="924"/>
      <c r="AA172" s="921"/>
      <c r="AB172" s="921"/>
      <c r="AC172" s="921"/>
      <c r="AD172" s="921"/>
      <c r="AE172" s="921"/>
      <c r="AF172" s="921"/>
      <c r="AG172" s="921"/>
      <c r="AH172" s="921"/>
      <c r="AI172" s="921"/>
      <c r="AJ172" s="921"/>
      <c r="AK172" s="921"/>
      <c r="AL172" s="921"/>
      <c r="AM172" s="921"/>
      <c r="AN172" s="921"/>
      <c r="AO172" s="921"/>
      <c r="AP172" s="921"/>
      <c r="AQ172" s="921"/>
      <c r="AR172" s="921"/>
      <c r="AS172" s="921"/>
      <c r="AT172" s="921"/>
      <c r="AU172" s="921"/>
      <c r="AV172" s="921"/>
      <c r="AW172" s="921"/>
      <c r="AX172" s="921"/>
      <c r="AY172" s="921"/>
      <c r="AZ172" s="921"/>
      <c r="BA172" s="921"/>
      <c r="BB172" s="921"/>
      <c r="BC172" s="921"/>
      <c r="BD172" s="921"/>
      <c r="BE172" s="921"/>
    </row>
    <row r="173" spans="1:58" ht="15.4" customHeight="1">
      <c r="A173" s="882"/>
      <c r="B173" s="882"/>
      <c r="C173" s="1042" t="s">
        <v>836</v>
      </c>
      <c r="D173" s="921"/>
      <c r="E173" s="921"/>
      <c r="F173" s="921"/>
      <c r="G173" s="921"/>
      <c r="H173" s="921"/>
      <c r="I173" s="921"/>
      <c r="J173" s="921"/>
      <c r="K173" s="921"/>
      <c r="L173" s="921"/>
      <c r="M173" s="921"/>
      <c r="N173" s="921"/>
      <c r="O173" s="921"/>
      <c r="P173" s="921"/>
      <c r="Q173" s="921"/>
      <c r="R173" s="921"/>
      <c r="S173" s="921"/>
      <c r="T173" s="921"/>
      <c r="U173" s="921"/>
      <c r="V173" s="921"/>
      <c r="W173" s="921"/>
      <c r="X173" s="921"/>
      <c r="Y173" s="921"/>
      <c r="Z173" s="924"/>
      <c r="AA173" s="921"/>
      <c r="AB173" s="921"/>
      <c r="AC173" s="921"/>
      <c r="AD173" s="921"/>
      <c r="AE173" s="921"/>
      <c r="AF173" s="921"/>
      <c r="AG173" s="921"/>
      <c r="AH173" s="921"/>
      <c r="AI173" s="921"/>
      <c r="AJ173" s="921"/>
      <c r="AK173" s="921"/>
      <c r="AL173" s="921"/>
      <c r="AM173" s="921"/>
      <c r="AN173" s="921"/>
      <c r="AO173" s="921"/>
      <c r="AP173" s="921"/>
      <c r="AQ173" s="921"/>
      <c r="AR173" s="921"/>
      <c r="AS173" s="921"/>
      <c r="AT173" s="921"/>
      <c r="AU173" s="921"/>
      <c r="AV173" s="921"/>
      <c r="AW173" s="921"/>
      <c r="AX173" s="921"/>
      <c r="AY173" s="921"/>
      <c r="AZ173" s="921"/>
      <c r="BA173" s="921"/>
      <c r="BB173" s="921"/>
      <c r="BC173" s="921"/>
      <c r="BD173" s="921"/>
      <c r="BE173" s="921"/>
    </row>
    <row r="174" spans="1:58">
      <c r="A174" s="882"/>
      <c r="B174" s="882"/>
      <c r="C174" s="1042" t="s">
        <v>837</v>
      </c>
      <c r="D174" s="921"/>
      <c r="E174" s="921"/>
      <c r="F174" s="921"/>
      <c r="G174" s="921"/>
      <c r="H174" s="921"/>
      <c r="I174" s="921"/>
      <c r="J174" s="921"/>
      <c r="K174" s="921"/>
      <c r="L174" s="921"/>
      <c r="M174" s="921"/>
      <c r="N174" s="921"/>
      <c r="O174" s="921"/>
      <c r="P174" s="921"/>
      <c r="Q174" s="921"/>
      <c r="R174" s="921"/>
      <c r="S174" s="921"/>
      <c r="T174" s="921"/>
      <c r="U174" s="921"/>
      <c r="V174" s="921"/>
      <c r="W174" s="921"/>
      <c r="X174" s="921"/>
      <c r="Y174" s="921"/>
      <c r="Z174" s="924"/>
      <c r="AA174" s="921"/>
      <c r="AB174" s="921"/>
      <c r="AC174" s="921"/>
      <c r="AD174" s="921"/>
      <c r="AE174" s="921"/>
      <c r="AF174" s="921"/>
      <c r="AG174" s="921"/>
      <c r="AH174" s="921"/>
      <c r="AI174" s="921"/>
      <c r="AJ174" s="921"/>
      <c r="AK174" s="923"/>
      <c r="AL174" s="921"/>
      <c r="AM174" s="921"/>
      <c r="AN174" s="921"/>
      <c r="AO174" s="921"/>
      <c r="AP174" s="921"/>
      <c r="AQ174" s="921"/>
      <c r="AR174" s="921"/>
      <c r="AS174" s="921"/>
      <c r="AT174" s="921"/>
      <c r="AU174" s="921"/>
      <c r="AV174" s="921"/>
      <c r="AW174" s="921"/>
      <c r="AX174" s="921"/>
      <c r="AY174" s="921"/>
      <c r="AZ174" s="921"/>
      <c r="BA174" s="921"/>
      <c r="BB174" s="921"/>
      <c r="BC174" s="921"/>
      <c r="BD174" s="921"/>
      <c r="BE174" s="921"/>
    </row>
    <row r="175" spans="1:58">
      <c r="A175" s="882"/>
      <c r="B175" s="882"/>
      <c r="C175" s="1042" t="s">
        <v>838</v>
      </c>
      <c r="D175" s="921"/>
      <c r="E175" s="921"/>
      <c r="F175" s="921"/>
      <c r="G175" s="921"/>
      <c r="H175" s="921"/>
      <c r="I175" s="921"/>
      <c r="J175" s="921"/>
      <c r="K175" s="921"/>
      <c r="L175" s="921"/>
      <c r="M175" s="921"/>
      <c r="N175" s="921"/>
      <c r="O175" s="921"/>
      <c r="P175" s="921"/>
      <c r="Q175" s="921"/>
      <c r="R175" s="921"/>
      <c r="S175" s="921"/>
      <c r="T175" s="921"/>
      <c r="U175" s="921"/>
      <c r="V175" s="921"/>
      <c r="W175" s="921"/>
      <c r="X175" s="921"/>
      <c r="Y175" s="921"/>
      <c r="Z175" s="924"/>
      <c r="AA175" s="921"/>
      <c r="AB175" s="921"/>
      <c r="AC175" s="921"/>
      <c r="AD175" s="921"/>
      <c r="AE175" s="921"/>
      <c r="AF175" s="921"/>
      <c r="AG175" s="921"/>
      <c r="AH175" s="921"/>
      <c r="AI175" s="921"/>
      <c r="AJ175" s="921"/>
      <c r="AK175" s="921"/>
      <c r="AL175" s="921"/>
      <c r="AM175" s="921"/>
      <c r="AN175" s="921"/>
      <c r="AO175" s="921"/>
      <c r="AP175" s="921"/>
      <c r="AQ175" s="921"/>
      <c r="AR175" s="921"/>
      <c r="AS175" s="921"/>
      <c r="AT175" s="921"/>
      <c r="AU175" s="921"/>
      <c r="AV175" s="921"/>
      <c r="AW175" s="921"/>
      <c r="AX175" s="921"/>
      <c r="AY175" s="921"/>
      <c r="AZ175" s="921"/>
      <c r="BA175" s="921"/>
      <c r="BB175" s="921"/>
      <c r="BC175" s="921"/>
      <c r="BD175" s="921"/>
      <c r="BE175" s="921"/>
    </row>
    <row r="176" spans="1:58">
      <c r="A176" s="882"/>
      <c r="B176" s="882"/>
      <c r="C176" s="1038"/>
      <c r="D176" s="921"/>
      <c r="E176" s="921"/>
      <c r="F176" s="921"/>
      <c r="G176" s="921"/>
      <c r="H176" s="921"/>
      <c r="I176" s="921"/>
      <c r="J176" s="921"/>
      <c r="K176" s="921"/>
      <c r="L176" s="921"/>
      <c r="M176" s="921"/>
      <c r="N176" s="921"/>
      <c r="O176" s="921"/>
      <c r="P176" s="921"/>
      <c r="Q176" s="921"/>
      <c r="R176" s="921"/>
      <c r="S176" s="921"/>
      <c r="T176" s="921"/>
      <c r="U176" s="921"/>
      <c r="V176" s="921"/>
      <c r="W176" s="921"/>
      <c r="X176" s="921"/>
      <c r="Y176" s="921"/>
      <c r="Z176" s="924"/>
      <c r="AA176" s="921"/>
      <c r="AB176" s="921"/>
      <c r="AC176" s="921"/>
      <c r="AD176" s="921"/>
      <c r="AE176" s="921"/>
      <c r="AF176" s="921"/>
      <c r="AG176" s="921"/>
      <c r="AH176" s="921"/>
      <c r="AI176" s="921"/>
      <c r="AJ176" s="921"/>
      <c r="AK176" s="921"/>
      <c r="AL176" s="921"/>
      <c r="AM176" s="921"/>
      <c r="AN176" s="921"/>
      <c r="AO176" s="921"/>
      <c r="AP176" s="921"/>
      <c r="AQ176" s="921"/>
      <c r="AR176" s="921"/>
      <c r="AS176" s="921"/>
      <c r="AT176" s="921"/>
      <c r="AU176" s="921"/>
      <c r="AV176" s="921"/>
      <c r="AW176" s="921"/>
      <c r="AX176" s="921"/>
      <c r="AY176" s="921"/>
      <c r="AZ176" s="921"/>
      <c r="BA176" s="921"/>
      <c r="BB176" s="921"/>
      <c r="BC176" s="921"/>
      <c r="BD176" s="921"/>
      <c r="BE176" s="921"/>
    </row>
    <row r="177" spans="1:57">
      <c r="A177" s="882"/>
      <c r="B177" s="882"/>
      <c r="C177" s="1038"/>
      <c r="D177" s="921"/>
      <c r="E177" s="921"/>
      <c r="F177" s="921"/>
      <c r="G177" s="921"/>
      <c r="H177" s="921"/>
      <c r="I177" s="921"/>
      <c r="J177" s="921"/>
      <c r="K177" s="921"/>
      <c r="L177" s="921"/>
      <c r="M177" s="921"/>
      <c r="N177" s="921"/>
      <c r="O177" s="921"/>
      <c r="P177" s="921"/>
      <c r="Q177" s="921"/>
      <c r="R177" s="921"/>
      <c r="S177" s="921"/>
      <c r="T177" s="921"/>
      <c r="U177" s="921"/>
      <c r="V177" s="921"/>
      <c r="W177" s="921"/>
      <c r="X177" s="921"/>
      <c r="Y177" s="921"/>
      <c r="Z177" s="924"/>
      <c r="AA177" s="921"/>
      <c r="AB177" s="921"/>
      <c r="AC177" s="921"/>
      <c r="AD177" s="921"/>
      <c r="AE177" s="921"/>
      <c r="AF177" s="921"/>
      <c r="AG177" s="921"/>
      <c r="AH177" s="921"/>
      <c r="AI177" s="921"/>
      <c r="AJ177" s="921"/>
      <c r="AK177" s="921"/>
      <c r="AL177" s="921"/>
      <c r="AM177" s="921"/>
      <c r="AN177" s="921"/>
      <c r="AO177" s="921"/>
      <c r="AP177" s="921"/>
      <c r="AQ177" s="921"/>
      <c r="AR177" s="921"/>
      <c r="AS177" s="921"/>
      <c r="AT177" s="921"/>
      <c r="AU177" s="921"/>
      <c r="AV177" s="921"/>
      <c r="AW177" s="921"/>
      <c r="AX177" s="921"/>
      <c r="AY177" s="921"/>
      <c r="AZ177" s="921"/>
      <c r="BA177" s="921"/>
      <c r="BB177" s="921"/>
      <c r="BC177" s="921"/>
      <c r="BD177" s="921"/>
      <c r="BE177" s="921"/>
    </row>
    <row r="178" spans="1:57">
      <c r="A178" s="882"/>
      <c r="B178" s="882"/>
      <c r="C178" s="1038"/>
      <c r="D178" s="921"/>
      <c r="E178" s="921"/>
      <c r="F178" s="921"/>
      <c r="G178" s="921"/>
      <c r="H178" s="921"/>
      <c r="I178" s="921"/>
      <c r="J178" s="921"/>
      <c r="K178" s="921"/>
      <c r="L178" s="921"/>
      <c r="M178" s="921"/>
      <c r="N178" s="921"/>
      <c r="O178" s="921"/>
      <c r="P178" s="921"/>
      <c r="Q178" s="921"/>
      <c r="R178" s="921"/>
      <c r="S178" s="921"/>
      <c r="T178" s="921"/>
      <c r="U178" s="921"/>
      <c r="V178" s="921"/>
      <c r="W178" s="921"/>
      <c r="X178" s="921"/>
      <c r="Y178" s="921"/>
      <c r="Z178" s="924"/>
      <c r="AA178" s="921"/>
      <c r="AB178" s="921"/>
      <c r="AC178" s="921"/>
      <c r="AD178" s="921"/>
      <c r="AE178" s="921"/>
      <c r="AF178" s="921"/>
      <c r="AG178" s="921"/>
      <c r="AH178" s="921"/>
      <c r="AI178" s="921"/>
      <c r="AJ178" s="921"/>
      <c r="AK178" s="921"/>
      <c r="AL178" s="921"/>
      <c r="AM178" s="921"/>
      <c r="AN178" s="921"/>
      <c r="AO178" s="921"/>
      <c r="AP178" s="921"/>
      <c r="AQ178" s="921"/>
      <c r="AR178" s="921"/>
      <c r="AS178" s="921"/>
      <c r="AT178" s="921"/>
      <c r="AU178" s="921"/>
      <c r="AV178" s="921"/>
      <c r="AW178" s="921"/>
      <c r="AX178" s="921"/>
      <c r="AY178" s="921"/>
      <c r="AZ178" s="921"/>
      <c r="BA178" s="921"/>
      <c r="BB178" s="921"/>
      <c r="BC178" s="921"/>
      <c r="BD178" s="921"/>
      <c r="BE178" s="921"/>
    </row>
    <row r="179" spans="1:57">
      <c r="A179" s="882"/>
      <c r="B179" s="882"/>
      <c r="C179" s="1043" t="s">
        <v>839</v>
      </c>
      <c r="D179" s="1044"/>
      <c r="E179" s="1044"/>
      <c r="F179" s="1044"/>
      <c r="G179" s="1044"/>
      <c r="H179" s="1044"/>
      <c r="I179" s="1044"/>
      <c r="J179" s="1044"/>
      <c r="K179" s="1044"/>
      <c r="L179" s="1044"/>
      <c r="M179" s="1044"/>
      <c r="N179" s="1044"/>
      <c r="O179" s="1044"/>
      <c r="P179" s="1044"/>
      <c r="Q179" s="1044"/>
      <c r="R179" s="1044"/>
      <c r="S179" s="1044"/>
      <c r="T179" s="1044"/>
      <c r="U179" s="1044"/>
      <c r="V179" s="1044"/>
      <c r="W179" s="1044"/>
      <c r="X179" s="1044"/>
      <c r="Y179" s="1044"/>
      <c r="Z179" s="1045"/>
      <c r="AA179" s="1044"/>
      <c r="AB179" s="1044"/>
      <c r="AC179" s="1044"/>
      <c r="AD179" s="921"/>
      <c r="AE179" s="921"/>
      <c r="AF179" s="921"/>
      <c r="AG179" s="921"/>
      <c r="AH179" s="921"/>
      <c r="AI179" s="921"/>
      <c r="AJ179" s="921"/>
      <c r="AK179" s="921"/>
      <c r="AL179" s="921"/>
      <c r="AM179" s="921"/>
      <c r="AN179" s="921"/>
      <c r="AO179" s="921"/>
      <c r="AP179" s="921"/>
      <c r="AQ179" s="921"/>
      <c r="AR179" s="921"/>
      <c r="AS179" s="921"/>
      <c r="AT179" s="921"/>
      <c r="AU179" s="921"/>
      <c r="AV179" s="921"/>
      <c r="AW179" s="921"/>
      <c r="AX179" s="921"/>
      <c r="AY179" s="921"/>
      <c r="AZ179" s="921"/>
      <c r="BA179" s="921"/>
      <c r="BB179" s="921"/>
      <c r="BC179" s="921"/>
      <c r="BD179" s="921"/>
      <c r="BE179" s="921"/>
    </row>
    <row r="180" spans="1:57">
      <c r="A180" s="882"/>
      <c r="B180" s="882"/>
      <c r="C180" s="1044"/>
      <c r="D180" s="1044"/>
      <c r="E180" s="1044"/>
      <c r="F180" s="1044"/>
      <c r="G180" s="1044"/>
      <c r="H180" s="1044"/>
      <c r="I180" s="1044"/>
      <c r="J180" s="1044"/>
      <c r="K180" s="1044"/>
      <c r="L180" s="1044"/>
      <c r="M180" s="1044"/>
      <c r="N180" s="1044"/>
      <c r="O180" s="1044"/>
      <c r="P180" s="1044"/>
      <c r="Q180" s="1044"/>
      <c r="R180" s="1044"/>
      <c r="S180" s="1044"/>
      <c r="T180" s="1044"/>
      <c r="U180" s="1044"/>
      <c r="V180" s="1044"/>
      <c r="W180" s="1044"/>
      <c r="X180" s="1044"/>
      <c r="Y180" s="1044"/>
      <c r="Z180" s="1045"/>
      <c r="AA180" s="1044"/>
      <c r="AB180" s="1044"/>
      <c r="AC180" s="1044"/>
      <c r="AD180" s="921"/>
      <c r="AE180" s="921"/>
      <c r="AF180" s="921"/>
      <c r="AG180" s="921"/>
      <c r="AH180" s="921"/>
      <c r="AI180" s="921"/>
      <c r="AJ180" s="921"/>
      <c r="AK180" s="921"/>
      <c r="AL180" s="921"/>
      <c r="AM180" s="921"/>
      <c r="AN180" s="921"/>
      <c r="AO180" s="921"/>
      <c r="AP180" s="921"/>
      <c r="AQ180" s="921"/>
      <c r="AR180" s="921"/>
      <c r="AS180" s="921"/>
      <c r="AT180" s="921"/>
      <c r="AU180" s="921"/>
      <c r="AV180" s="921"/>
      <c r="AW180" s="921"/>
      <c r="AX180" s="921"/>
      <c r="AY180" s="921"/>
      <c r="AZ180" s="921"/>
      <c r="BA180" s="921"/>
      <c r="BB180" s="921"/>
      <c r="BC180" s="921"/>
      <c r="BD180" s="921"/>
      <c r="BE180" s="921"/>
    </row>
    <row r="181" spans="1:57">
      <c r="A181" s="882"/>
      <c r="B181" s="882"/>
      <c r="C181" s="1046" t="s">
        <v>840</v>
      </c>
      <c r="D181" s="1044"/>
      <c r="E181" s="1044"/>
      <c r="F181" s="1044"/>
      <c r="G181" s="1044"/>
      <c r="H181" s="1044"/>
      <c r="I181" s="1044"/>
      <c r="J181" s="1044"/>
      <c r="K181" s="1044"/>
      <c r="L181" s="1044"/>
      <c r="M181" s="1044"/>
      <c r="N181" s="1044"/>
      <c r="O181" s="1044"/>
      <c r="P181" s="1044"/>
      <c r="Q181" s="1044"/>
      <c r="R181" s="1044"/>
      <c r="S181" s="1044"/>
      <c r="T181" s="1044"/>
      <c r="U181" s="1044"/>
      <c r="V181" s="1044"/>
      <c r="W181" s="1044"/>
      <c r="X181" s="1044"/>
      <c r="Y181" s="1044"/>
      <c r="Z181" s="1045"/>
      <c r="AA181" s="1044"/>
      <c r="AB181" s="1044"/>
      <c r="AC181" s="1044"/>
      <c r="AD181" s="921"/>
      <c r="AE181" s="921"/>
      <c r="AF181" s="921"/>
      <c r="AG181" s="921"/>
      <c r="AH181" s="921"/>
      <c r="AI181" s="921"/>
      <c r="AJ181" s="921"/>
      <c r="AK181" s="921"/>
      <c r="AL181" s="921"/>
      <c r="AM181" s="921"/>
      <c r="AN181" s="921"/>
      <c r="AO181" s="921"/>
      <c r="AP181" s="921"/>
      <c r="AQ181" s="921"/>
      <c r="AR181" s="921"/>
      <c r="AS181" s="921"/>
      <c r="AT181" s="921"/>
      <c r="AU181" s="921"/>
      <c r="AV181" s="921"/>
      <c r="AW181" s="921"/>
      <c r="AX181" s="921"/>
      <c r="AY181" s="921"/>
      <c r="AZ181" s="921"/>
      <c r="BA181" s="921"/>
      <c r="BB181" s="921"/>
      <c r="BC181" s="921"/>
      <c r="BD181" s="921"/>
      <c r="BE181" s="921"/>
    </row>
    <row r="182" spans="1:57">
      <c r="A182" s="882"/>
      <c r="B182" s="882"/>
      <c r="C182" s="1046" t="s">
        <v>841</v>
      </c>
      <c r="D182" s="1044"/>
      <c r="E182" s="1044"/>
      <c r="F182" s="1044"/>
      <c r="G182" s="1044"/>
      <c r="H182" s="1044"/>
      <c r="I182" s="1044"/>
      <c r="J182" s="1044"/>
      <c r="K182" s="1044"/>
      <c r="L182" s="1044"/>
      <c r="M182" s="1044"/>
      <c r="N182" s="1044"/>
      <c r="O182" s="1044"/>
      <c r="P182" s="1044"/>
      <c r="Q182" s="1044"/>
      <c r="R182" s="1044"/>
      <c r="S182" s="1044"/>
      <c r="T182" s="1044"/>
      <c r="U182" s="1044"/>
      <c r="V182" s="1044"/>
      <c r="W182" s="1044"/>
      <c r="X182" s="1044"/>
      <c r="Y182" s="1044"/>
      <c r="Z182" s="1045"/>
      <c r="AA182" s="1044"/>
      <c r="AB182" s="1044"/>
      <c r="AC182" s="1044"/>
      <c r="AD182" s="921"/>
      <c r="AE182" s="921"/>
      <c r="AF182" s="921"/>
      <c r="AG182" s="921"/>
      <c r="AH182" s="921"/>
      <c r="AI182" s="921"/>
      <c r="AJ182" s="921"/>
      <c r="AK182" s="921"/>
      <c r="AL182" s="921"/>
      <c r="AM182" s="921"/>
      <c r="AN182" s="921"/>
      <c r="AO182" s="921"/>
      <c r="AP182" s="921"/>
      <c r="AQ182" s="921"/>
      <c r="AR182" s="921"/>
      <c r="AS182" s="921"/>
      <c r="AT182" s="921"/>
      <c r="AU182" s="921"/>
      <c r="AV182" s="921"/>
      <c r="AW182" s="921"/>
      <c r="AX182" s="921"/>
      <c r="AY182" s="921"/>
      <c r="AZ182" s="921"/>
      <c r="BA182" s="921"/>
      <c r="BB182" s="921"/>
      <c r="BC182" s="921"/>
      <c r="BD182" s="921"/>
      <c r="BE182" s="921"/>
    </row>
    <row r="183" spans="1:57">
      <c r="A183" s="882"/>
      <c r="B183" s="882"/>
      <c r="C183" s="1044"/>
      <c r="D183" s="1044"/>
      <c r="E183" s="1044"/>
      <c r="F183" s="1044"/>
      <c r="G183" s="1044"/>
      <c r="H183" s="1044"/>
      <c r="I183" s="1044"/>
      <c r="J183" s="1044"/>
      <c r="K183" s="1044"/>
      <c r="L183" s="1044"/>
      <c r="M183" s="1044"/>
      <c r="N183" s="1044"/>
      <c r="O183" s="1044"/>
      <c r="P183" s="1044"/>
      <c r="Q183" s="1044"/>
      <c r="R183" s="1044"/>
      <c r="S183" s="1044"/>
      <c r="T183" s="1044"/>
      <c r="U183" s="1044"/>
      <c r="V183" s="1044"/>
      <c r="W183" s="1044"/>
      <c r="X183" s="1044"/>
      <c r="Y183" s="1044"/>
      <c r="Z183" s="1045"/>
      <c r="AA183" s="1044"/>
      <c r="AB183" s="1044"/>
      <c r="AC183" s="1044"/>
      <c r="AD183" s="921"/>
      <c r="AE183" s="921"/>
      <c r="AF183" s="921"/>
      <c r="AG183" s="921"/>
      <c r="AH183" s="921"/>
      <c r="AI183" s="921"/>
      <c r="AJ183" s="921"/>
      <c r="AK183" s="921"/>
      <c r="AL183" s="921"/>
      <c r="AM183" s="921"/>
      <c r="AN183" s="921"/>
      <c r="AO183" s="921"/>
      <c r="AP183" s="921"/>
      <c r="AQ183" s="921"/>
      <c r="AR183" s="921"/>
      <c r="AS183" s="921"/>
      <c r="AT183" s="921"/>
      <c r="AU183" s="921"/>
      <c r="AV183" s="921"/>
      <c r="AW183" s="921"/>
      <c r="AX183" s="921"/>
      <c r="AY183" s="921"/>
      <c r="AZ183" s="921"/>
      <c r="BA183" s="921"/>
      <c r="BB183" s="921"/>
      <c r="BC183" s="921"/>
      <c r="BD183" s="921"/>
      <c r="BE183" s="921"/>
    </row>
    <row r="184" spans="1:57">
      <c r="A184" s="882"/>
      <c r="B184" s="882"/>
      <c r="C184" s="1046" t="s">
        <v>842</v>
      </c>
      <c r="D184" s="1044"/>
      <c r="E184" s="1044"/>
      <c r="F184" s="1044"/>
      <c r="G184" s="1044"/>
      <c r="H184" s="1044"/>
      <c r="I184" s="1044"/>
      <c r="J184" s="1044"/>
      <c r="K184" s="1044"/>
      <c r="L184" s="1044"/>
      <c r="M184" s="1044"/>
      <c r="N184" s="1044"/>
      <c r="O184" s="1044"/>
      <c r="P184" s="1044"/>
      <c r="Q184" s="1044"/>
      <c r="R184" s="1044"/>
      <c r="S184" s="1044"/>
      <c r="T184" s="1044"/>
      <c r="U184" s="1044"/>
      <c r="V184" s="1044"/>
      <c r="W184" s="1044"/>
      <c r="X184" s="1044"/>
      <c r="Y184" s="1044"/>
      <c r="Z184" s="1045"/>
      <c r="AA184" s="1044"/>
      <c r="AB184" s="1044"/>
      <c r="AC184" s="1044"/>
      <c r="AD184" s="921"/>
      <c r="AE184" s="921"/>
      <c r="AF184" s="921"/>
      <c r="AG184" s="921"/>
      <c r="AH184" s="921"/>
      <c r="AI184" s="921"/>
      <c r="AJ184" s="921"/>
      <c r="AK184" s="921"/>
      <c r="AL184" s="921"/>
      <c r="AM184" s="921"/>
      <c r="AN184" s="921"/>
      <c r="AO184" s="921"/>
      <c r="AP184" s="921"/>
      <c r="AQ184" s="921"/>
      <c r="AR184" s="921"/>
      <c r="AS184" s="921"/>
      <c r="AT184" s="921"/>
      <c r="AU184" s="921"/>
      <c r="AV184" s="921"/>
      <c r="AW184" s="921"/>
      <c r="AX184" s="921"/>
      <c r="AY184" s="921"/>
      <c r="AZ184" s="921"/>
      <c r="BA184" s="921"/>
      <c r="BB184" s="921"/>
      <c r="BC184" s="921"/>
      <c r="BD184" s="921"/>
      <c r="BE184" s="921"/>
    </row>
    <row r="185" spans="1:57">
      <c r="A185" s="882"/>
      <c r="B185" s="882"/>
      <c r="C185" s="1046" t="s">
        <v>843</v>
      </c>
      <c r="D185" s="1044"/>
      <c r="E185" s="1044"/>
      <c r="F185" s="1044"/>
      <c r="G185" s="1044"/>
      <c r="H185" s="1044"/>
      <c r="I185" s="1044"/>
      <c r="J185" s="1044"/>
      <c r="K185" s="1044"/>
      <c r="L185" s="1044"/>
      <c r="M185" s="1044"/>
      <c r="N185" s="1044"/>
      <c r="O185" s="1044"/>
      <c r="P185" s="1044"/>
      <c r="Q185" s="1044"/>
      <c r="R185" s="1044"/>
      <c r="S185" s="1044"/>
      <c r="T185" s="1044"/>
      <c r="U185" s="1044"/>
      <c r="V185" s="1044"/>
      <c r="W185" s="1044"/>
      <c r="X185" s="1044"/>
      <c r="Y185" s="1044"/>
      <c r="Z185" s="1045"/>
      <c r="AA185" s="1044"/>
      <c r="AB185" s="1044"/>
      <c r="AC185" s="1044"/>
      <c r="AD185" s="921"/>
      <c r="AE185" s="921"/>
      <c r="AF185" s="921"/>
      <c r="AG185" s="921"/>
      <c r="AH185" s="921"/>
      <c r="AI185" s="921"/>
      <c r="AJ185" s="921"/>
      <c r="AK185" s="921"/>
      <c r="AL185" s="921"/>
      <c r="AM185" s="921"/>
      <c r="AN185" s="921"/>
      <c r="AO185" s="921"/>
      <c r="AP185" s="921"/>
      <c r="AQ185" s="921"/>
      <c r="AR185" s="921"/>
      <c r="AS185" s="921"/>
      <c r="AT185" s="921"/>
      <c r="AU185" s="921"/>
      <c r="AV185" s="921"/>
      <c r="AW185" s="921"/>
      <c r="AX185" s="921"/>
      <c r="AY185" s="921"/>
      <c r="AZ185" s="921"/>
      <c r="BA185" s="921"/>
      <c r="BB185" s="921"/>
      <c r="BC185" s="921"/>
      <c r="BD185" s="921"/>
      <c r="BE185" s="921"/>
    </row>
    <row r="186" spans="1:57">
      <c r="A186" s="882"/>
      <c r="B186" s="882"/>
      <c r="C186" s="1046" t="s">
        <v>844</v>
      </c>
      <c r="D186" s="1044"/>
      <c r="E186" s="1044"/>
      <c r="F186" s="1044"/>
      <c r="G186" s="1044"/>
      <c r="H186" s="1044"/>
      <c r="I186" s="1044"/>
      <c r="J186" s="1044"/>
      <c r="K186" s="1044"/>
      <c r="L186" s="1044"/>
      <c r="M186" s="1044"/>
      <c r="N186" s="1044"/>
      <c r="O186" s="1044"/>
      <c r="P186" s="1044"/>
      <c r="Q186" s="1044"/>
      <c r="R186" s="1044"/>
      <c r="S186" s="1044"/>
      <c r="T186" s="1044"/>
      <c r="U186" s="1044"/>
      <c r="V186" s="1044"/>
      <c r="W186" s="1044"/>
      <c r="X186" s="1044"/>
      <c r="Y186" s="1044"/>
      <c r="Z186" s="1045"/>
      <c r="AA186" s="1044"/>
      <c r="AB186" s="1044"/>
      <c r="AC186" s="1044"/>
      <c r="AD186" s="921"/>
      <c r="AE186" s="921"/>
      <c r="AF186" s="921"/>
      <c r="AG186" s="921"/>
      <c r="AH186" s="921"/>
      <c r="AI186" s="921"/>
      <c r="AJ186" s="921"/>
      <c r="AK186" s="921"/>
      <c r="AL186" s="921"/>
      <c r="AM186" s="921"/>
      <c r="AN186" s="921"/>
      <c r="AO186" s="921"/>
      <c r="AP186" s="921"/>
      <c r="AQ186" s="921"/>
      <c r="AR186" s="921"/>
      <c r="AS186" s="921"/>
      <c r="AT186" s="921"/>
      <c r="AU186" s="921"/>
      <c r="AV186" s="921"/>
      <c r="AW186" s="921"/>
      <c r="AX186" s="921"/>
      <c r="AY186" s="921"/>
      <c r="AZ186" s="921"/>
      <c r="BA186" s="921"/>
      <c r="BB186" s="921"/>
      <c r="BC186" s="921"/>
      <c r="BD186" s="921"/>
      <c r="BE186" s="921"/>
    </row>
    <row r="187" spans="1:57">
      <c r="A187" s="882"/>
      <c r="B187" s="882"/>
      <c r="C187" s="1046" t="s">
        <v>845</v>
      </c>
      <c r="D187" s="1044"/>
      <c r="E187" s="1044"/>
      <c r="F187" s="1044"/>
      <c r="G187" s="1044"/>
      <c r="H187" s="1044"/>
      <c r="I187" s="1044"/>
      <c r="J187" s="1044"/>
      <c r="K187" s="1044"/>
      <c r="L187" s="1044"/>
      <c r="M187" s="1044"/>
      <c r="N187" s="1044"/>
      <c r="O187" s="1044"/>
      <c r="P187" s="1044"/>
      <c r="Q187" s="1044"/>
      <c r="R187" s="1044"/>
      <c r="S187" s="1044"/>
      <c r="T187" s="1044"/>
      <c r="U187" s="1044"/>
      <c r="V187" s="1044"/>
      <c r="W187" s="1044"/>
      <c r="X187" s="1044"/>
      <c r="Y187" s="1044"/>
      <c r="Z187" s="1045"/>
      <c r="AA187" s="1044"/>
      <c r="AB187" s="1044"/>
      <c r="AC187" s="1044"/>
      <c r="AD187" s="921"/>
      <c r="AE187" s="921"/>
      <c r="AF187" s="921"/>
      <c r="AG187" s="921"/>
      <c r="AH187" s="921"/>
      <c r="AI187" s="921"/>
      <c r="AJ187" s="921"/>
      <c r="AK187" s="921"/>
      <c r="AL187" s="921"/>
      <c r="AM187" s="921"/>
      <c r="AN187" s="921"/>
      <c r="AO187" s="921"/>
      <c r="AP187" s="921"/>
      <c r="AQ187" s="921"/>
      <c r="AR187" s="921"/>
      <c r="AS187" s="921"/>
      <c r="AT187" s="921"/>
      <c r="AU187" s="921"/>
      <c r="AV187" s="921"/>
      <c r="AW187" s="921"/>
      <c r="AX187" s="921"/>
      <c r="AY187" s="921"/>
      <c r="AZ187" s="921"/>
      <c r="BA187" s="921"/>
      <c r="BB187" s="921"/>
      <c r="BC187" s="921"/>
      <c r="BD187" s="921"/>
      <c r="BE187" s="921"/>
    </row>
    <row r="188" spans="1:57">
      <c r="A188" s="882"/>
      <c r="B188" s="882"/>
      <c r="C188" s="1044"/>
      <c r="D188" s="1044"/>
      <c r="E188" s="1044"/>
      <c r="F188" s="1044"/>
      <c r="G188" s="1044"/>
      <c r="H188" s="1044"/>
      <c r="I188" s="1044"/>
      <c r="J188" s="1044"/>
      <c r="K188" s="1044"/>
      <c r="L188" s="1044"/>
      <c r="M188" s="1044"/>
      <c r="N188" s="1044"/>
      <c r="O188" s="1044"/>
      <c r="P188" s="1044"/>
      <c r="Q188" s="1044"/>
      <c r="R188" s="1044"/>
      <c r="S188" s="1044"/>
      <c r="T188" s="1044"/>
      <c r="U188" s="1044"/>
      <c r="V188" s="1044"/>
      <c r="W188" s="1044"/>
      <c r="X188" s="1044"/>
      <c r="Y188" s="1044"/>
      <c r="Z188" s="1045"/>
      <c r="AA188" s="1044"/>
      <c r="AB188" s="1044"/>
      <c r="AC188" s="1044"/>
      <c r="AD188" s="921"/>
      <c r="AE188" s="921"/>
      <c r="AF188" s="921"/>
      <c r="AG188" s="921"/>
      <c r="AH188" s="921"/>
      <c r="AI188" s="921"/>
      <c r="AJ188" s="921"/>
      <c r="AK188" s="921"/>
      <c r="AL188" s="921"/>
      <c r="AM188" s="921"/>
      <c r="AN188" s="921"/>
      <c r="AO188" s="921"/>
      <c r="AP188" s="921"/>
      <c r="AQ188" s="921"/>
      <c r="AR188" s="921"/>
      <c r="AS188" s="921"/>
      <c r="AT188" s="921"/>
      <c r="AU188" s="921"/>
      <c r="AV188" s="921"/>
      <c r="AW188" s="921"/>
      <c r="AX188" s="921"/>
      <c r="AY188" s="921"/>
      <c r="AZ188" s="921"/>
      <c r="BA188" s="921"/>
      <c r="BB188" s="921"/>
      <c r="BC188" s="921"/>
      <c r="BD188" s="921"/>
      <c r="BE188" s="921"/>
    </row>
    <row r="189" spans="1:57">
      <c r="A189" s="882"/>
      <c r="B189" s="882"/>
      <c r="C189" s="1046" t="s">
        <v>846</v>
      </c>
      <c r="D189" s="1044"/>
      <c r="E189" s="1044"/>
      <c r="F189" s="1044"/>
      <c r="G189" s="1044"/>
      <c r="H189" s="1044"/>
      <c r="I189" s="1044"/>
      <c r="J189" s="1044"/>
      <c r="K189" s="1044"/>
      <c r="L189" s="1044"/>
      <c r="M189" s="1044"/>
      <c r="N189" s="1044"/>
      <c r="O189" s="1044"/>
      <c r="P189" s="1044"/>
      <c r="Q189" s="1044"/>
      <c r="R189" s="1044"/>
      <c r="S189" s="1044"/>
      <c r="T189" s="1044"/>
      <c r="U189" s="1044"/>
      <c r="V189" s="1044"/>
      <c r="W189" s="1044"/>
      <c r="X189" s="1044"/>
      <c r="Y189" s="1044"/>
      <c r="Z189" s="1045"/>
      <c r="AA189" s="1044"/>
      <c r="AB189" s="1044"/>
      <c r="AC189" s="1044"/>
      <c r="AD189" s="921"/>
      <c r="AE189" s="921"/>
      <c r="AF189" s="921"/>
      <c r="AG189" s="921"/>
      <c r="AH189" s="921"/>
      <c r="AI189" s="921"/>
      <c r="AJ189" s="921"/>
      <c r="AK189" s="921"/>
      <c r="AL189" s="921"/>
      <c r="AM189" s="921"/>
      <c r="AN189" s="921"/>
      <c r="AO189" s="921"/>
      <c r="AP189" s="921"/>
      <c r="AQ189" s="921"/>
      <c r="AR189" s="921"/>
      <c r="AS189" s="921"/>
      <c r="AT189" s="921"/>
      <c r="AU189" s="921"/>
      <c r="AV189" s="921"/>
      <c r="AW189" s="921"/>
      <c r="AX189" s="921"/>
      <c r="AY189" s="921"/>
      <c r="AZ189" s="921"/>
      <c r="BA189" s="921"/>
      <c r="BB189" s="921"/>
      <c r="BC189" s="921"/>
      <c r="BD189" s="921"/>
      <c r="BE189" s="921"/>
    </row>
    <row r="190" spans="1:57">
      <c r="A190" s="882"/>
      <c r="B190" s="882"/>
      <c r="C190" s="1044"/>
      <c r="D190" s="1044"/>
      <c r="E190" s="1044"/>
      <c r="F190" s="1044"/>
      <c r="G190" s="1044"/>
      <c r="H190" s="1044"/>
      <c r="I190" s="1044"/>
      <c r="J190" s="1044"/>
      <c r="K190" s="1044"/>
      <c r="L190" s="1044"/>
      <c r="M190" s="1044"/>
      <c r="N190" s="1044"/>
      <c r="O190" s="1044"/>
      <c r="P190" s="1044"/>
      <c r="Q190" s="1044"/>
      <c r="R190" s="1044"/>
      <c r="S190" s="1044"/>
      <c r="T190" s="1044"/>
      <c r="U190" s="1044"/>
      <c r="V190" s="1044"/>
      <c r="W190" s="1044"/>
      <c r="X190" s="1044"/>
      <c r="Y190" s="1044"/>
      <c r="Z190" s="1045"/>
      <c r="AA190" s="1044"/>
      <c r="AB190" s="1044"/>
      <c r="AC190" s="1044"/>
      <c r="AD190" s="921"/>
      <c r="AE190" s="921"/>
      <c r="AF190" s="921"/>
      <c r="AG190" s="921"/>
      <c r="AH190" s="921"/>
      <c r="AI190" s="921"/>
      <c r="AJ190" s="921"/>
      <c r="AK190" s="921"/>
      <c r="AL190" s="921"/>
      <c r="AM190" s="921"/>
      <c r="AN190" s="921"/>
      <c r="AO190" s="921"/>
      <c r="AP190" s="921"/>
      <c r="AQ190" s="921"/>
      <c r="AR190" s="921"/>
      <c r="AS190" s="921"/>
      <c r="AT190" s="921"/>
      <c r="AU190" s="921"/>
      <c r="AV190" s="921"/>
      <c r="AW190" s="921"/>
      <c r="AX190" s="921"/>
      <c r="AY190" s="921"/>
      <c r="AZ190" s="921"/>
      <c r="BA190" s="921"/>
      <c r="BB190" s="921"/>
      <c r="BC190" s="921"/>
      <c r="BD190" s="921"/>
      <c r="BE190" s="921"/>
    </row>
    <row r="191" spans="1:57" ht="15">
      <c r="A191" s="882"/>
      <c r="B191" s="882"/>
      <c r="C191" s="1044"/>
      <c r="D191" s="1044"/>
      <c r="E191" s="1044"/>
      <c r="F191" s="1044"/>
      <c r="G191" s="1044"/>
      <c r="H191" s="1685" t="s">
        <v>847</v>
      </c>
      <c r="I191" s="1685"/>
      <c r="J191" s="1685"/>
      <c r="K191" s="1685" t="s">
        <v>848</v>
      </c>
      <c r="L191" s="1685"/>
      <c r="M191" s="1685"/>
      <c r="N191" s="1047"/>
      <c r="O191" s="1685" t="s">
        <v>849</v>
      </c>
      <c r="P191" s="1685"/>
      <c r="Q191" s="1685"/>
      <c r="R191" s="1689" t="s">
        <v>850</v>
      </c>
      <c r="S191" s="1690"/>
      <c r="T191" s="1690"/>
      <c r="U191" s="1691"/>
      <c r="V191" s="1685" t="s">
        <v>851</v>
      </c>
      <c r="W191" s="1685"/>
      <c r="X191" s="1685"/>
      <c r="Y191" s="1044"/>
      <c r="Z191" s="1045"/>
      <c r="AA191" s="1044"/>
      <c r="AB191" s="1044"/>
      <c r="AC191" s="1044"/>
      <c r="AD191" s="921"/>
      <c r="AE191" s="921"/>
      <c r="AF191" s="921"/>
      <c r="AG191" s="921"/>
      <c r="AH191" s="921"/>
      <c r="AI191" s="921"/>
      <c r="AJ191" s="921"/>
      <c r="AK191" s="921"/>
      <c r="AL191" s="921"/>
      <c r="AM191" s="921"/>
      <c r="AN191" s="921"/>
      <c r="AO191" s="921"/>
      <c r="AP191" s="921"/>
      <c r="AQ191" s="921"/>
      <c r="AR191" s="921"/>
      <c r="AS191" s="921"/>
      <c r="AT191" s="921"/>
      <c r="AU191" s="921"/>
      <c r="AV191" s="921"/>
      <c r="AW191" s="921"/>
      <c r="AX191" s="921"/>
      <c r="AY191" s="921"/>
      <c r="AZ191" s="921"/>
      <c r="BA191" s="921"/>
      <c r="BB191" s="921"/>
      <c r="BC191" s="921"/>
      <c r="BD191" s="921"/>
      <c r="BE191" s="921"/>
    </row>
    <row r="192" spans="1:57">
      <c r="A192" s="882"/>
      <c r="B192" s="882"/>
      <c r="C192" s="1048" t="s">
        <v>852</v>
      </c>
      <c r="D192" s="1049"/>
      <c r="E192" s="1049"/>
      <c r="F192" s="1049"/>
      <c r="G192" s="1050"/>
      <c r="H192" s="1686">
        <v>12.89</v>
      </c>
      <c r="I192" s="1687"/>
      <c r="J192" s="1688"/>
      <c r="K192" s="1686">
        <v>12.22</v>
      </c>
      <c r="L192" s="1687"/>
      <c r="M192" s="1688"/>
      <c r="N192" s="1051"/>
      <c r="O192" s="1686">
        <v>10.9</v>
      </c>
      <c r="P192" s="1687"/>
      <c r="Q192" s="1688"/>
      <c r="R192" s="1686">
        <v>8.92</v>
      </c>
      <c r="S192" s="1687"/>
      <c r="T192" s="1687"/>
      <c r="U192" s="1688"/>
      <c r="V192" s="1686">
        <v>8.92</v>
      </c>
      <c r="W192" s="1687"/>
      <c r="X192" s="1688"/>
      <c r="Y192" s="1044"/>
      <c r="Z192" s="1045"/>
      <c r="AA192" s="1044"/>
      <c r="AB192" s="1044"/>
      <c r="AC192" s="1044"/>
      <c r="AD192" s="921"/>
      <c r="AE192" s="921"/>
      <c r="AF192" s="921"/>
      <c r="AG192" s="921"/>
      <c r="AH192" s="921"/>
      <c r="AI192" s="921"/>
      <c r="AJ192" s="921"/>
      <c r="AK192" s="921"/>
      <c r="AL192" s="921"/>
      <c r="AM192" s="921"/>
      <c r="AN192" s="921"/>
      <c r="AO192" s="921"/>
      <c r="AP192" s="921"/>
      <c r="AQ192" s="921"/>
      <c r="AR192" s="921"/>
      <c r="AS192" s="921"/>
      <c r="AT192" s="921"/>
      <c r="AU192" s="921"/>
      <c r="AV192" s="921"/>
      <c r="AW192" s="921"/>
      <c r="AX192" s="921"/>
      <c r="AY192" s="921"/>
      <c r="AZ192" s="921"/>
      <c r="BA192" s="921"/>
      <c r="BB192" s="921"/>
      <c r="BC192" s="921"/>
      <c r="BD192" s="921"/>
      <c r="BE192" s="921"/>
    </row>
    <row r="193" spans="1:57">
      <c r="A193" s="882"/>
      <c r="B193" s="882"/>
      <c r="C193" s="1052" t="s">
        <v>853</v>
      </c>
      <c r="D193" s="1052"/>
      <c r="E193" s="1052"/>
      <c r="F193" s="1052"/>
      <c r="G193" s="1053"/>
      <c r="H193" s="1679"/>
      <c r="I193" s="1680"/>
      <c r="J193" s="1681"/>
      <c r="K193" s="1679"/>
      <c r="L193" s="1680"/>
      <c r="M193" s="1681"/>
      <c r="N193" s="1054"/>
      <c r="O193" s="1679"/>
      <c r="P193" s="1680"/>
      <c r="Q193" s="1681"/>
      <c r="R193" s="1679"/>
      <c r="S193" s="1680"/>
      <c r="T193" s="1680"/>
      <c r="U193" s="1681"/>
      <c r="V193" s="1679"/>
      <c r="W193" s="1680"/>
      <c r="X193" s="1681"/>
      <c r="Y193" s="1044"/>
      <c r="Z193" s="1044"/>
      <c r="AA193" s="1044"/>
      <c r="AB193" s="1044"/>
      <c r="AC193" s="1044"/>
      <c r="AD193" s="921"/>
      <c r="AE193" s="921"/>
      <c r="AF193" s="921"/>
      <c r="AG193" s="921"/>
      <c r="AH193" s="921"/>
      <c r="AI193" s="921"/>
      <c r="AJ193" s="921"/>
      <c r="AK193" s="921"/>
      <c r="AL193" s="921"/>
      <c r="AM193" s="921"/>
      <c r="AN193" s="921"/>
      <c r="AO193" s="921"/>
      <c r="AP193" s="921"/>
      <c r="AQ193" s="921"/>
      <c r="AR193" s="921"/>
      <c r="AS193" s="921"/>
      <c r="AT193" s="921"/>
      <c r="AU193" s="921"/>
      <c r="AV193" s="921"/>
      <c r="AW193" s="921"/>
      <c r="AX193" s="921"/>
      <c r="AY193" s="921"/>
      <c r="AZ193" s="921"/>
      <c r="BA193" s="921"/>
      <c r="BB193" s="921"/>
      <c r="BC193" s="921"/>
      <c r="BD193" s="921"/>
      <c r="BE193" s="921"/>
    </row>
    <row r="194" spans="1:57">
      <c r="A194" s="882"/>
      <c r="B194" s="882"/>
      <c r="C194" s="1055" t="s">
        <v>854</v>
      </c>
      <c r="D194" s="1055"/>
      <c r="E194" s="1055"/>
      <c r="F194" s="1055"/>
      <c r="G194" s="1056"/>
      <c r="H194" s="1682">
        <v>12.75</v>
      </c>
      <c r="I194" s="1683"/>
      <c r="J194" s="1684"/>
      <c r="K194" s="1682">
        <v>12.1</v>
      </c>
      <c r="L194" s="1683"/>
      <c r="M194" s="1684"/>
      <c r="N194" s="1057"/>
      <c r="O194" s="1682">
        <v>10.79</v>
      </c>
      <c r="P194" s="1683"/>
      <c r="Q194" s="1684"/>
      <c r="R194" s="1682">
        <v>8.83</v>
      </c>
      <c r="S194" s="1683"/>
      <c r="T194" s="1683"/>
      <c r="U194" s="1684"/>
      <c r="V194" s="1682">
        <v>8.83</v>
      </c>
      <c r="W194" s="1683"/>
      <c r="X194" s="1684"/>
      <c r="Y194" s="1058"/>
      <c r="Z194" s="1058"/>
      <c r="AA194" s="1058"/>
      <c r="AB194" s="1044"/>
      <c r="AC194" s="1044"/>
      <c r="AD194" s="921"/>
      <c r="AE194" s="921"/>
      <c r="AF194" s="921"/>
      <c r="AG194" s="921"/>
      <c r="AH194" s="921"/>
      <c r="AI194" s="921"/>
      <c r="AJ194" s="921"/>
      <c r="AK194" s="921"/>
      <c r="AL194" s="921"/>
      <c r="AM194" s="921"/>
      <c r="AN194" s="921"/>
      <c r="AO194" s="921"/>
      <c r="AP194" s="921"/>
      <c r="AQ194" s="921"/>
      <c r="AR194" s="921"/>
      <c r="AS194" s="921"/>
      <c r="AT194" s="921"/>
      <c r="AU194" s="921"/>
      <c r="AV194" s="921"/>
      <c r="AW194" s="921"/>
      <c r="AX194" s="921"/>
      <c r="AY194" s="921"/>
      <c r="AZ194" s="921"/>
      <c r="BA194" s="921"/>
      <c r="BB194" s="921"/>
      <c r="BC194" s="921"/>
      <c r="BD194" s="921"/>
      <c r="BE194" s="921"/>
    </row>
    <row r="195" spans="1:57">
      <c r="A195" s="882"/>
      <c r="B195" s="882"/>
      <c r="C195" s="1059"/>
      <c r="D195" s="1044"/>
      <c r="E195" s="1044"/>
      <c r="F195" s="1044"/>
      <c r="G195" s="1044"/>
      <c r="H195" s="1060"/>
      <c r="I195" s="1060"/>
      <c r="J195" s="1060"/>
      <c r="K195" s="1060"/>
      <c r="L195" s="1060"/>
      <c r="M195" s="1060"/>
      <c r="N195" s="1060"/>
      <c r="O195" s="1060"/>
      <c r="P195" s="1060"/>
      <c r="Q195" s="1060"/>
      <c r="R195" s="1060"/>
      <c r="S195" s="1060"/>
      <c r="T195" s="1060"/>
      <c r="U195" s="1060"/>
      <c r="V195" s="1060"/>
      <c r="W195" s="1060"/>
      <c r="X195" s="1060"/>
      <c r="Y195" s="1044"/>
      <c r="Z195" s="1045"/>
      <c r="AA195" s="1044"/>
      <c r="AB195" s="1044"/>
      <c r="AC195" s="1044"/>
      <c r="AD195" s="921"/>
      <c r="AE195" s="921"/>
      <c r="AF195" s="921"/>
      <c r="AG195" s="921"/>
      <c r="AH195" s="921"/>
      <c r="AI195" s="921"/>
      <c r="AJ195" s="921"/>
      <c r="AK195" s="921"/>
      <c r="AL195" s="921"/>
      <c r="AM195" s="921"/>
      <c r="AN195" s="921"/>
      <c r="AO195" s="921"/>
      <c r="AP195" s="921"/>
      <c r="AQ195" s="921"/>
      <c r="AR195" s="921"/>
      <c r="AS195" s="921"/>
      <c r="AT195" s="921"/>
      <c r="AU195" s="921"/>
      <c r="AV195" s="921"/>
      <c r="AW195" s="921"/>
      <c r="AX195" s="921"/>
      <c r="AY195" s="921"/>
      <c r="AZ195" s="921"/>
      <c r="BA195" s="921"/>
      <c r="BB195" s="921"/>
      <c r="BC195" s="921"/>
      <c r="BD195" s="921"/>
      <c r="BE195" s="921"/>
    </row>
    <row r="196" spans="1:57">
      <c r="A196" s="882"/>
      <c r="B196" s="882"/>
      <c r="C196" s="1059" t="s">
        <v>855</v>
      </c>
      <c r="D196" s="1044"/>
      <c r="E196" s="1044"/>
      <c r="F196" s="1044"/>
      <c r="G196" s="1044"/>
      <c r="H196" s="1675">
        <v>0.4</v>
      </c>
      <c r="I196" s="1676"/>
      <c r="J196" s="1677"/>
      <c r="K196" s="1675">
        <v>0.4</v>
      </c>
      <c r="L196" s="1676"/>
      <c r="M196" s="1677"/>
      <c r="N196" s="1061"/>
      <c r="O196" s="1675">
        <v>0.4</v>
      </c>
      <c r="P196" s="1676"/>
      <c r="Q196" s="1677"/>
      <c r="R196" s="1675">
        <v>0.4</v>
      </c>
      <c r="S196" s="1676"/>
      <c r="T196" s="1676"/>
      <c r="U196" s="1677"/>
      <c r="V196" s="1675">
        <v>0.4</v>
      </c>
      <c r="W196" s="1676"/>
      <c r="X196" s="1677"/>
      <c r="Y196" s="1044"/>
      <c r="Z196" s="1046" t="s">
        <v>856</v>
      </c>
      <c r="AA196" s="1044"/>
      <c r="AB196" s="1044"/>
      <c r="AC196" s="1044"/>
      <c r="AD196" s="921"/>
      <c r="AE196" s="921"/>
      <c r="AF196" s="921"/>
      <c r="AG196" s="921"/>
      <c r="AH196" s="921"/>
      <c r="AI196" s="921"/>
      <c r="AJ196" s="921"/>
      <c r="AK196" s="921"/>
      <c r="AL196" s="921"/>
      <c r="AM196" s="921"/>
      <c r="AN196" s="921"/>
      <c r="AO196" s="921"/>
      <c r="AP196" s="921"/>
      <c r="AQ196" s="921"/>
      <c r="AR196" s="921"/>
      <c r="AS196" s="921"/>
      <c r="AT196" s="921"/>
      <c r="AU196" s="921"/>
      <c r="AV196" s="921"/>
      <c r="AW196" s="921"/>
      <c r="AX196" s="921"/>
      <c r="AY196" s="921"/>
      <c r="AZ196" s="921"/>
      <c r="BA196" s="921"/>
      <c r="BB196" s="921"/>
      <c r="BC196" s="921"/>
      <c r="BD196" s="921"/>
      <c r="BE196" s="921"/>
    </row>
    <row r="197" spans="1:57">
      <c r="A197" s="882"/>
      <c r="B197" s="882"/>
      <c r="C197" s="1062" t="s">
        <v>857</v>
      </c>
      <c r="D197" s="1063"/>
      <c r="E197" s="1063"/>
      <c r="F197" s="1063"/>
      <c r="G197" s="1063"/>
      <c r="H197" s="1667" t="s">
        <v>858</v>
      </c>
      <c r="I197" s="1668"/>
      <c r="J197" s="1669"/>
      <c r="K197" s="1678">
        <v>0.3</v>
      </c>
      <c r="L197" s="1668"/>
      <c r="M197" s="1669"/>
      <c r="N197" s="1064"/>
      <c r="O197" s="1678">
        <v>0.3</v>
      </c>
      <c r="P197" s="1668"/>
      <c r="Q197" s="1669"/>
      <c r="R197" s="1667" t="s">
        <v>858</v>
      </c>
      <c r="S197" s="1670"/>
      <c r="T197" s="1670"/>
      <c r="U197" s="1671"/>
      <c r="V197" s="1667" t="s">
        <v>858</v>
      </c>
      <c r="W197" s="1668"/>
      <c r="X197" s="1669"/>
      <c r="Y197" s="1044"/>
      <c r="Z197" s="1046" t="s">
        <v>859</v>
      </c>
      <c r="AA197" s="1044"/>
      <c r="AB197" s="1044"/>
      <c r="AC197" s="1044"/>
      <c r="AD197" s="921"/>
      <c r="AE197" s="921"/>
      <c r="AF197" s="921"/>
      <c r="AG197" s="921"/>
      <c r="AH197" s="921"/>
      <c r="AI197" s="921"/>
      <c r="AJ197" s="921"/>
      <c r="AK197" s="921"/>
      <c r="AL197" s="921"/>
      <c r="AM197" s="921"/>
      <c r="AN197" s="921"/>
      <c r="AO197" s="921"/>
      <c r="AP197" s="921"/>
      <c r="AQ197" s="921"/>
      <c r="AR197" s="921"/>
      <c r="AS197" s="921"/>
      <c r="AT197" s="921"/>
      <c r="AU197" s="921"/>
      <c r="AV197" s="921"/>
      <c r="AW197" s="921"/>
      <c r="AX197" s="921"/>
      <c r="AY197" s="921"/>
      <c r="AZ197" s="921"/>
      <c r="BA197" s="921"/>
      <c r="BB197" s="921"/>
      <c r="BC197" s="921"/>
      <c r="BD197" s="921"/>
      <c r="BE197" s="921"/>
    </row>
    <row r="198" spans="1:57">
      <c r="A198" s="882"/>
      <c r="B198" s="882"/>
      <c r="C198" s="1044"/>
      <c r="D198" s="1044"/>
      <c r="E198" s="1044"/>
      <c r="F198" s="1044"/>
      <c r="G198" s="1044"/>
      <c r="H198" s="1060"/>
      <c r="I198" s="1060"/>
      <c r="J198" s="1060"/>
      <c r="K198" s="1060"/>
      <c r="L198" s="1060"/>
      <c r="M198" s="1060"/>
      <c r="N198" s="1060"/>
      <c r="O198" s="1060"/>
      <c r="P198" s="1060"/>
      <c r="Q198" s="1060"/>
      <c r="R198" s="1060"/>
      <c r="S198" s="1060"/>
      <c r="T198" s="1060"/>
      <c r="U198" s="1060"/>
      <c r="V198" s="1060"/>
      <c r="W198" s="1060"/>
      <c r="X198" s="1060"/>
      <c r="Y198" s="1044"/>
      <c r="Z198" s="1046" t="s">
        <v>860</v>
      </c>
      <c r="AA198" s="1044"/>
      <c r="AB198" s="1044"/>
      <c r="AC198" s="1044"/>
      <c r="AD198" s="921"/>
      <c r="AE198" s="921"/>
      <c r="AF198" s="921"/>
      <c r="AG198" s="921"/>
      <c r="AH198" s="921"/>
      <c r="AI198" s="921"/>
      <c r="AJ198" s="921"/>
      <c r="AK198" s="921"/>
      <c r="AL198" s="921"/>
      <c r="AM198" s="921"/>
      <c r="AN198" s="921"/>
      <c r="AO198" s="921"/>
      <c r="AP198" s="921"/>
      <c r="AQ198" s="921"/>
      <c r="AR198" s="921"/>
      <c r="AS198" s="921"/>
      <c r="AT198" s="921"/>
      <c r="AU198" s="921"/>
      <c r="AV198" s="921"/>
      <c r="AW198" s="921"/>
      <c r="AX198" s="921"/>
      <c r="AY198" s="921"/>
      <c r="AZ198" s="921"/>
      <c r="BA198" s="921"/>
      <c r="BB198" s="921"/>
      <c r="BC198" s="921"/>
      <c r="BD198" s="921"/>
      <c r="BE198" s="921"/>
    </row>
    <row r="199" spans="1:57" s="1071" customFormat="1">
      <c r="A199" s="1065"/>
      <c r="B199" s="1065"/>
      <c r="C199" s="1066" t="s">
        <v>861</v>
      </c>
      <c r="D199" s="1067"/>
      <c r="E199" s="1067"/>
      <c r="F199" s="1067"/>
      <c r="G199" s="1067"/>
      <c r="H199" s="1661">
        <f>H194+H196</f>
        <v>13.15</v>
      </c>
      <c r="I199" s="1662"/>
      <c r="J199" s="1663"/>
      <c r="K199" s="1661">
        <f>K194+K196+K197</f>
        <v>12.8</v>
      </c>
      <c r="L199" s="1662"/>
      <c r="M199" s="1663"/>
      <c r="N199" s="1068"/>
      <c r="O199" s="1661">
        <f>O194+O196+O197</f>
        <v>11.49</v>
      </c>
      <c r="P199" s="1662"/>
      <c r="Q199" s="1663"/>
      <c r="R199" s="1661">
        <f>R194+R196</f>
        <v>9.23</v>
      </c>
      <c r="S199" s="1662"/>
      <c r="T199" s="1662"/>
      <c r="U199" s="1663"/>
      <c r="V199" s="1661">
        <f>V194+V196</f>
        <v>9.23</v>
      </c>
      <c r="W199" s="1662"/>
      <c r="X199" s="1663"/>
      <c r="Y199" s="1069"/>
      <c r="Z199" s="1069"/>
      <c r="AA199" s="1069"/>
      <c r="AB199" s="1069"/>
      <c r="AC199" s="1069"/>
      <c r="AD199" s="1070"/>
      <c r="AE199" s="1070"/>
      <c r="AF199" s="1070"/>
      <c r="AG199" s="1070"/>
      <c r="AH199" s="1070"/>
      <c r="AI199" s="1070"/>
      <c r="AJ199" s="1070"/>
      <c r="AK199" s="1070"/>
      <c r="AL199" s="1070"/>
      <c r="AM199" s="1070"/>
      <c r="AN199" s="1070"/>
      <c r="AO199" s="1070"/>
      <c r="AP199" s="1070"/>
      <c r="AQ199" s="1070"/>
      <c r="AR199" s="1070"/>
      <c r="AS199" s="1070"/>
      <c r="AT199" s="1070"/>
      <c r="AU199" s="1070"/>
      <c r="AV199" s="1070"/>
      <c r="AW199" s="1070"/>
      <c r="AX199" s="1070"/>
      <c r="AY199" s="1070"/>
      <c r="AZ199" s="1070"/>
      <c r="BA199" s="1070"/>
      <c r="BB199" s="1070"/>
      <c r="BC199" s="1070"/>
      <c r="BD199" s="1070"/>
      <c r="BE199" s="1070"/>
    </row>
    <row r="200" spans="1:57">
      <c r="A200" s="882"/>
      <c r="B200" s="882"/>
      <c r="C200" s="1044"/>
      <c r="D200" s="1044"/>
      <c r="E200" s="1044"/>
      <c r="F200" s="1044"/>
      <c r="G200" s="1044"/>
      <c r="H200" s="1044"/>
      <c r="I200" s="1044"/>
      <c r="J200" s="1044"/>
      <c r="K200" s="1044"/>
      <c r="L200" s="1044"/>
      <c r="M200" s="1044"/>
      <c r="N200" s="1044"/>
      <c r="O200" s="1044"/>
      <c r="P200" s="1044"/>
      <c r="Q200" s="1044"/>
      <c r="R200" s="1044"/>
      <c r="S200" s="1044"/>
      <c r="T200" s="1044"/>
      <c r="U200" s="1044"/>
      <c r="V200" s="1044"/>
      <c r="W200" s="1044"/>
      <c r="X200" s="1044"/>
      <c r="Y200" s="1044"/>
      <c r="Z200" s="1045"/>
      <c r="AA200" s="1044"/>
      <c r="AB200" s="1044"/>
      <c r="AC200" s="1044"/>
      <c r="AD200" s="921"/>
      <c r="AE200" s="921"/>
      <c r="AF200" s="921"/>
      <c r="AG200" s="921"/>
      <c r="AH200" s="921"/>
      <c r="AI200" s="921"/>
      <c r="AJ200" s="921"/>
      <c r="AK200" s="921"/>
      <c r="AL200" s="921"/>
      <c r="AM200" s="921"/>
      <c r="AN200" s="921"/>
      <c r="AO200" s="921"/>
      <c r="AP200" s="921"/>
      <c r="AQ200" s="921"/>
      <c r="AR200" s="921"/>
      <c r="AS200" s="921"/>
      <c r="AT200" s="921"/>
      <c r="AU200" s="921"/>
      <c r="AV200" s="921"/>
      <c r="AW200" s="921"/>
      <c r="AX200" s="921"/>
      <c r="AY200" s="921"/>
      <c r="AZ200" s="921"/>
      <c r="BA200" s="921"/>
      <c r="BB200" s="921"/>
      <c r="BC200" s="921"/>
      <c r="BD200" s="921"/>
      <c r="BE200" s="921"/>
    </row>
    <row r="201" spans="1:57">
      <c r="A201" s="882"/>
      <c r="B201" s="882"/>
      <c r="C201" s="1059" t="s">
        <v>862</v>
      </c>
      <c r="D201" s="1044"/>
      <c r="E201" s="1044"/>
      <c r="F201" s="1044"/>
      <c r="G201" s="1044"/>
      <c r="H201" s="1675"/>
      <c r="I201" s="1676"/>
      <c r="J201" s="1677"/>
      <c r="K201" s="1675"/>
      <c r="L201" s="1676"/>
      <c r="M201" s="1677"/>
      <c r="N201" s="1061"/>
      <c r="O201" s="1672" t="s">
        <v>863</v>
      </c>
      <c r="P201" s="1673"/>
      <c r="Q201" s="1674"/>
      <c r="R201" s="1072"/>
      <c r="S201" s="1073"/>
      <c r="T201" s="1073"/>
      <c r="U201" s="1074"/>
      <c r="V201" s="1672" t="s">
        <v>863</v>
      </c>
      <c r="W201" s="1673"/>
      <c r="X201" s="1674"/>
      <c r="Y201" s="1044"/>
      <c r="Z201" s="1045"/>
      <c r="AA201" s="1044"/>
      <c r="AB201" s="1044"/>
      <c r="AC201" s="1044"/>
      <c r="AD201" s="921"/>
      <c r="AE201" s="921"/>
      <c r="AF201" s="921"/>
      <c r="AG201" s="921"/>
      <c r="AH201" s="921"/>
      <c r="AI201" s="921"/>
      <c r="AJ201" s="921"/>
      <c r="AK201" s="921"/>
      <c r="AL201" s="921"/>
      <c r="AM201" s="921"/>
      <c r="AN201" s="921"/>
      <c r="AO201" s="921"/>
      <c r="AP201" s="921"/>
      <c r="AQ201" s="921"/>
      <c r="AR201" s="921"/>
      <c r="AS201" s="921"/>
      <c r="AT201" s="921"/>
      <c r="AU201" s="921"/>
      <c r="AV201" s="921"/>
      <c r="AW201" s="921"/>
      <c r="AX201" s="921"/>
      <c r="AY201" s="921"/>
      <c r="AZ201" s="921"/>
      <c r="BA201" s="921"/>
      <c r="BB201" s="921"/>
      <c r="BC201" s="921"/>
      <c r="BD201" s="921"/>
      <c r="BE201" s="921"/>
    </row>
    <row r="202" spans="1:57">
      <c r="A202" s="882"/>
      <c r="B202" s="882"/>
      <c r="C202" s="1059" t="s">
        <v>864</v>
      </c>
      <c r="D202" s="1044"/>
      <c r="E202" s="1044"/>
      <c r="F202" s="1044"/>
      <c r="G202" s="1044"/>
      <c r="H202" s="1075"/>
      <c r="I202" s="1061"/>
      <c r="J202" s="1076"/>
      <c r="K202" s="1075"/>
      <c r="L202" s="1061"/>
      <c r="M202" s="1076"/>
      <c r="N202" s="1061"/>
      <c r="O202" s="1672" t="s">
        <v>865</v>
      </c>
      <c r="P202" s="1673"/>
      <c r="Q202" s="1674"/>
      <c r="R202" s="1077"/>
      <c r="S202" s="1078"/>
      <c r="T202" s="1078"/>
      <c r="U202" s="1079"/>
      <c r="V202" s="1672" t="s">
        <v>865</v>
      </c>
      <c r="W202" s="1673"/>
      <c r="X202" s="1674"/>
      <c r="Y202" s="1044"/>
      <c r="Z202" s="1045"/>
      <c r="AA202" s="1044"/>
      <c r="AB202" s="1044"/>
      <c r="AC202" s="1044"/>
      <c r="AD202" s="921"/>
      <c r="AE202" s="921"/>
      <c r="AF202" s="921"/>
      <c r="AG202" s="921"/>
      <c r="AH202" s="921"/>
      <c r="AI202" s="921"/>
      <c r="AJ202" s="921"/>
      <c r="AK202" s="921"/>
      <c r="AL202" s="921"/>
      <c r="AM202" s="921"/>
      <c r="AN202" s="921"/>
      <c r="AO202" s="921"/>
      <c r="AP202" s="921"/>
      <c r="AQ202" s="921"/>
      <c r="AR202" s="921"/>
      <c r="AS202" s="921"/>
      <c r="AT202" s="921"/>
      <c r="AU202" s="921"/>
      <c r="AV202" s="921"/>
      <c r="AW202" s="921"/>
      <c r="AX202" s="921"/>
      <c r="AY202" s="921"/>
      <c r="AZ202" s="921"/>
      <c r="BA202" s="921"/>
      <c r="BB202" s="921"/>
      <c r="BC202" s="921"/>
      <c r="BD202" s="921"/>
      <c r="BE202" s="921"/>
    </row>
    <row r="203" spans="1:57">
      <c r="A203" s="882"/>
      <c r="B203" s="882"/>
      <c r="C203" s="1062" t="s">
        <v>866</v>
      </c>
      <c r="D203" s="1063"/>
      <c r="E203" s="1063"/>
      <c r="F203" s="1063"/>
      <c r="G203" s="1063"/>
      <c r="H203" s="1667">
        <v>0.4</v>
      </c>
      <c r="I203" s="1668"/>
      <c r="J203" s="1669"/>
      <c r="K203" s="1667">
        <v>0.4</v>
      </c>
      <c r="L203" s="1668"/>
      <c r="M203" s="1669"/>
      <c r="N203" s="1064"/>
      <c r="O203" s="1667">
        <v>0.4</v>
      </c>
      <c r="P203" s="1668"/>
      <c r="Q203" s="1669"/>
      <c r="R203" s="1667" t="s">
        <v>858</v>
      </c>
      <c r="S203" s="1670"/>
      <c r="T203" s="1670"/>
      <c r="U203" s="1671"/>
      <c r="V203" s="1667">
        <v>0.4</v>
      </c>
      <c r="W203" s="1668"/>
      <c r="X203" s="1669"/>
      <c r="Y203" s="1044"/>
      <c r="Z203" s="1045"/>
      <c r="AA203" s="1044"/>
      <c r="AB203" s="1044"/>
      <c r="AC203" s="1044"/>
      <c r="AD203" s="921"/>
      <c r="AE203" s="921"/>
      <c r="AF203" s="921"/>
      <c r="AG203" s="921"/>
      <c r="AH203" s="921"/>
      <c r="AI203" s="921"/>
      <c r="AJ203" s="921"/>
      <c r="AK203" s="921"/>
      <c r="AL203" s="921"/>
      <c r="AM203" s="921"/>
      <c r="AN203" s="921"/>
      <c r="AO203" s="921"/>
      <c r="AP203" s="921"/>
      <c r="AQ203" s="921"/>
      <c r="AR203" s="921"/>
      <c r="AS203" s="921"/>
      <c r="AT203" s="921"/>
      <c r="AU203" s="921"/>
      <c r="AV203" s="921"/>
      <c r="AW203" s="921"/>
      <c r="AX203" s="921"/>
      <c r="AY203" s="921"/>
      <c r="AZ203" s="921"/>
      <c r="BA203" s="921"/>
      <c r="BB203" s="921"/>
      <c r="BC203" s="921"/>
      <c r="BD203" s="921"/>
      <c r="BE203" s="921"/>
    </row>
    <row r="204" spans="1:57">
      <c r="A204" s="882"/>
      <c r="B204" s="882"/>
      <c r="C204" s="1044"/>
      <c r="D204" s="1044"/>
      <c r="E204" s="1044"/>
      <c r="F204" s="1044"/>
      <c r="G204" s="1044"/>
      <c r="H204" s="1044"/>
      <c r="I204" s="1044"/>
      <c r="J204" s="1044"/>
      <c r="K204" s="1044"/>
      <c r="L204" s="1044"/>
      <c r="M204" s="1044"/>
      <c r="N204" s="1044"/>
      <c r="O204" s="1044"/>
      <c r="P204" s="1044"/>
      <c r="Q204" s="1044"/>
      <c r="R204" s="1044"/>
      <c r="S204" s="1044"/>
      <c r="T204" s="1044"/>
      <c r="U204" s="1044"/>
      <c r="V204" s="1044"/>
      <c r="W204" s="1044"/>
      <c r="X204" s="1044"/>
      <c r="Y204" s="1044"/>
      <c r="Z204" s="1045"/>
      <c r="AA204" s="1044"/>
      <c r="AB204" s="1044"/>
      <c r="AC204" s="1044"/>
      <c r="AD204" s="921"/>
      <c r="AE204" s="921"/>
      <c r="AF204" s="921"/>
      <c r="AG204" s="921"/>
      <c r="AH204" s="921"/>
      <c r="AI204" s="921"/>
      <c r="AJ204" s="921"/>
      <c r="AK204" s="921"/>
      <c r="AL204" s="921"/>
      <c r="AM204" s="921"/>
      <c r="AN204" s="921"/>
      <c r="AO204" s="921"/>
      <c r="AP204" s="921"/>
      <c r="AQ204" s="921"/>
      <c r="AR204" s="921"/>
      <c r="AS204" s="921"/>
      <c r="AT204" s="921"/>
      <c r="AU204" s="921"/>
      <c r="AV204" s="921"/>
      <c r="AW204" s="921"/>
      <c r="AX204" s="921"/>
      <c r="AY204" s="921"/>
      <c r="AZ204" s="921"/>
      <c r="BA204" s="921"/>
      <c r="BB204" s="921"/>
      <c r="BC204" s="921"/>
      <c r="BD204" s="921"/>
      <c r="BE204" s="921"/>
    </row>
    <row r="205" spans="1:57">
      <c r="A205" s="882"/>
      <c r="B205" s="882"/>
      <c r="C205" s="1066" t="s">
        <v>867</v>
      </c>
      <c r="D205" s="1067"/>
      <c r="E205" s="1067"/>
      <c r="F205" s="1067"/>
      <c r="G205" s="1067"/>
      <c r="H205" s="1661">
        <f>H199-H203</f>
        <v>12.75</v>
      </c>
      <c r="I205" s="1662"/>
      <c r="J205" s="1663"/>
      <c r="K205" s="1661">
        <f>K199-K203</f>
        <v>12.4</v>
      </c>
      <c r="L205" s="1662"/>
      <c r="M205" s="1663"/>
      <c r="N205" s="1068"/>
      <c r="O205" s="1661">
        <f>O199-O203</f>
        <v>11.09</v>
      </c>
      <c r="P205" s="1662"/>
      <c r="Q205" s="1663"/>
      <c r="R205" s="1664" t="s">
        <v>858</v>
      </c>
      <c r="S205" s="1665"/>
      <c r="T205" s="1665"/>
      <c r="U205" s="1666"/>
      <c r="V205" s="1661">
        <f>V199-V203</f>
        <v>8.83</v>
      </c>
      <c r="W205" s="1662"/>
      <c r="X205" s="1663"/>
      <c r="Y205" s="1044"/>
      <c r="Z205" s="1045"/>
      <c r="AA205" s="1044"/>
      <c r="AB205" s="1044"/>
      <c r="AC205" s="1044"/>
      <c r="AD205" s="921"/>
      <c r="AE205" s="921"/>
      <c r="AF205" s="921"/>
      <c r="AG205" s="921"/>
      <c r="AH205" s="921"/>
      <c r="AI205" s="921"/>
      <c r="AJ205" s="921"/>
      <c r="AK205" s="921"/>
      <c r="AL205" s="921"/>
      <c r="AM205" s="921"/>
      <c r="AN205" s="921"/>
      <c r="AO205" s="921"/>
      <c r="AP205" s="921"/>
      <c r="AQ205" s="921"/>
      <c r="AR205" s="921"/>
      <c r="AS205" s="921"/>
      <c r="AT205" s="921"/>
      <c r="AU205" s="921"/>
      <c r="AV205" s="921"/>
      <c r="AW205" s="921"/>
      <c r="AX205" s="921"/>
      <c r="AY205" s="921"/>
      <c r="AZ205" s="921"/>
      <c r="BA205" s="921"/>
      <c r="BB205" s="921"/>
      <c r="BC205" s="921"/>
      <c r="BD205" s="921"/>
      <c r="BE205" s="921"/>
    </row>
    <row r="206" spans="1:57">
      <c r="A206" s="882"/>
      <c r="B206" s="882"/>
      <c r="C206" s="1044"/>
      <c r="D206" s="1044"/>
      <c r="E206" s="1044"/>
      <c r="F206" s="1044"/>
      <c r="G206" s="1044"/>
      <c r="H206" s="1044"/>
      <c r="I206" s="1044"/>
      <c r="J206" s="1044"/>
      <c r="K206" s="1044"/>
      <c r="L206" s="1044"/>
      <c r="M206" s="1044"/>
      <c r="N206" s="1044"/>
      <c r="O206" s="1044"/>
      <c r="P206" s="1044"/>
      <c r="Q206" s="1044"/>
      <c r="R206" s="1044"/>
      <c r="S206" s="1044"/>
      <c r="T206" s="1044"/>
      <c r="U206" s="1044"/>
      <c r="V206" s="1044"/>
      <c r="W206" s="1044"/>
      <c r="X206" s="1044"/>
      <c r="Y206" s="1044"/>
      <c r="Z206" s="1045"/>
      <c r="AA206" s="1044"/>
      <c r="AB206" s="1044"/>
      <c r="AC206" s="1044"/>
      <c r="AD206" s="921"/>
      <c r="AE206" s="921"/>
      <c r="AF206" s="921"/>
      <c r="AG206" s="921"/>
      <c r="AH206" s="921"/>
      <c r="AI206" s="921"/>
      <c r="AJ206" s="921"/>
      <c r="AK206" s="921"/>
      <c r="AL206" s="921"/>
      <c r="AM206" s="921"/>
      <c r="AN206" s="921"/>
      <c r="AO206" s="921"/>
      <c r="AP206" s="921"/>
      <c r="AQ206" s="921"/>
      <c r="AR206" s="921"/>
      <c r="AS206" s="921"/>
      <c r="AT206" s="921"/>
      <c r="AU206" s="921"/>
      <c r="AV206" s="921"/>
      <c r="AW206" s="921"/>
      <c r="AX206" s="921"/>
      <c r="AY206" s="921"/>
      <c r="AZ206" s="921"/>
      <c r="BA206" s="921"/>
      <c r="BB206" s="921"/>
      <c r="BC206" s="921"/>
      <c r="BD206" s="921"/>
      <c r="BE206" s="921"/>
    </row>
    <row r="207" spans="1:57">
      <c r="A207" s="882"/>
      <c r="B207" s="882"/>
      <c r="C207" s="1044"/>
      <c r="D207" s="1044"/>
      <c r="E207" s="1044"/>
      <c r="F207" s="1044"/>
      <c r="G207" s="1044"/>
      <c r="H207" s="1044"/>
      <c r="I207" s="1044"/>
      <c r="J207" s="1044"/>
      <c r="K207" s="1044"/>
      <c r="L207" s="1044"/>
      <c r="M207" s="1044"/>
      <c r="N207" s="1044"/>
      <c r="O207" s="1044"/>
      <c r="P207" s="1044"/>
      <c r="Q207" s="1044"/>
      <c r="R207" s="1044"/>
      <c r="S207" s="1044"/>
      <c r="T207" s="1044"/>
      <c r="U207" s="1044"/>
      <c r="V207" s="1044"/>
      <c r="W207" s="1044"/>
      <c r="X207" s="1044"/>
      <c r="Y207" s="1044"/>
      <c r="Z207" s="1045"/>
      <c r="AA207" s="1044"/>
      <c r="AB207" s="1044"/>
      <c r="AC207" s="1044"/>
      <c r="AD207" s="921"/>
      <c r="AE207" s="921"/>
      <c r="AF207" s="921"/>
      <c r="AG207" s="921"/>
      <c r="AH207" s="921"/>
      <c r="AI207" s="921"/>
      <c r="AJ207" s="921"/>
      <c r="AK207" s="921"/>
      <c r="AL207" s="921"/>
      <c r="AM207" s="921"/>
      <c r="AN207" s="921"/>
      <c r="AO207" s="921"/>
      <c r="AP207" s="921"/>
      <c r="AQ207" s="921"/>
      <c r="AR207" s="921"/>
      <c r="AS207" s="921"/>
      <c r="AT207" s="921"/>
      <c r="AU207" s="921"/>
      <c r="AV207" s="921"/>
      <c r="AW207" s="921"/>
      <c r="AX207" s="921"/>
      <c r="AY207" s="921"/>
      <c r="AZ207" s="921"/>
      <c r="BA207" s="921"/>
      <c r="BB207" s="921"/>
      <c r="BC207" s="921"/>
      <c r="BD207" s="921"/>
      <c r="BE207" s="921"/>
    </row>
    <row r="208" spans="1:57">
      <c r="A208" s="882"/>
      <c r="B208" s="882"/>
      <c r="C208" s="1044"/>
      <c r="D208" s="1044"/>
      <c r="E208" s="1044"/>
      <c r="F208" s="1044"/>
      <c r="G208" s="1044"/>
      <c r="H208" s="1044"/>
      <c r="I208" s="1044"/>
      <c r="J208" s="1044"/>
      <c r="K208" s="1044"/>
      <c r="L208" s="1044"/>
      <c r="M208" s="1044"/>
      <c r="N208" s="1044"/>
      <c r="O208" s="1044"/>
      <c r="P208" s="1044"/>
      <c r="Q208" s="1044"/>
      <c r="R208" s="1044"/>
      <c r="S208" s="1044"/>
      <c r="T208" s="1044"/>
      <c r="U208" s="1044"/>
      <c r="V208" s="1044"/>
      <c r="W208" s="1044"/>
      <c r="X208" s="1044"/>
      <c r="Y208" s="1044"/>
      <c r="Z208" s="1045"/>
      <c r="AA208" s="1044"/>
      <c r="AB208" s="1044"/>
      <c r="AC208" s="1044"/>
      <c r="AD208" s="921"/>
      <c r="AE208" s="921"/>
      <c r="AF208" s="921"/>
      <c r="AG208" s="921"/>
      <c r="AH208" s="921"/>
      <c r="AI208" s="921"/>
      <c r="AJ208" s="921"/>
      <c r="AK208" s="921"/>
      <c r="AL208" s="921"/>
      <c r="AM208" s="921"/>
      <c r="AN208" s="921"/>
      <c r="AO208" s="921"/>
      <c r="AP208" s="921"/>
      <c r="AQ208" s="921"/>
      <c r="AR208" s="921"/>
      <c r="AS208" s="921"/>
      <c r="AT208" s="921"/>
      <c r="AU208" s="921"/>
      <c r="AV208" s="921"/>
      <c r="AW208" s="921"/>
      <c r="AX208" s="921"/>
      <c r="AY208" s="921"/>
      <c r="AZ208" s="921"/>
      <c r="BA208" s="921"/>
      <c r="BB208" s="921"/>
      <c r="BC208" s="921"/>
      <c r="BD208" s="921"/>
      <c r="BE208" s="921"/>
    </row>
    <row r="209" spans="1:57">
      <c r="A209" s="882"/>
      <c r="B209" s="882"/>
      <c r="C209" s="1044"/>
      <c r="D209" s="1044"/>
      <c r="E209" s="1044"/>
      <c r="F209" s="1044"/>
      <c r="G209" s="1044"/>
      <c r="H209" s="1044"/>
      <c r="I209" s="1044"/>
      <c r="J209" s="1044"/>
      <c r="K209" s="1044"/>
      <c r="L209" s="1044"/>
      <c r="M209" s="1044"/>
      <c r="N209" s="1044"/>
      <c r="O209" s="1044"/>
      <c r="P209" s="1044"/>
      <c r="Q209" s="1044"/>
      <c r="R209" s="1044"/>
      <c r="S209" s="1044"/>
      <c r="T209" s="1044"/>
      <c r="U209" s="1044"/>
      <c r="V209" s="1044"/>
      <c r="W209" s="1044"/>
      <c r="X209" s="1044"/>
      <c r="Y209" s="1044"/>
      <c r="Z209" s="1045"/>
      <c r="AA209" s="1044"/>
      <c r="AB209" s="1044"/>
      <c r="AC209" s="1044"/>
      <c r="AD209" s="921"/>
      <c r="AE209" s="921"/>
      <c r="AF209" s="921"/>
      <c r="AG209" s="921"/>
      <c r="AH209" s="921"/>
      <c r="AI209" s="921"/>
      <c r="AJ209" s="921"/>
      <c r="AK209" s="921"/>
      <c r="AL209" s="921"/>
      <c r="AM209" s="921"/>
      <c r="AN209" s="921"/>
      <c r="AO209" s="921"/>
      <c r="AP209" s="921"/>
      <c r="AQ209" s="921"/>
      <c r="AR209" s="921"/>
      <c r="AS209" s="921"/>
      <c r="AT209" s="921"/>
      <c r="AU209" s="921"/>
      <c r="AV209" s="921"/>
      <c r="AW209" s="921"/>
      <c r="AX209" s="921"/>
      <c r="AY209" s="921"/>
      <c r="AZ209" s="921"/>
      <c r="BA209" s="921"/>
      <c r="BB209" s="921"/>
      <c r="BC209" s="921"/>
      <c r="BD209" s="921"/>
      <c r="BE209" s="921"/>
    </row>
  </sheetData>
  <sheetProtection algorithmName="SHA-512" hashValue="v3Zi51l8SuCajMkf3lGHoahqGyJoRK5MMbXPnGchjr3njVAyeqsywq5Wep5XqoLmMneAgVJ24MhhJk5iNczuTQ==" saltValue="gUYL4/ZBBfzhLW4nhwqJvg==" spinCount="100000" sheet="1" objects="1" scenarios="1"/>
  <mergeCells count="83">
    <mergeCell ref="V2:Z2"/>
    <mergeCell ref="A7:A9"/>
    <mergeCell ref="B7:B9"/>
    <mergeCell ref="D7:O7"/>
    <mergeCell ref="S7:U7"/>
    <mergeCell ref="W7:X7"/>
    <mergeCell ref="D9:F9"/>
    <mergeCell ref="G9:I9"/>
    <mergeCell ref="J9:L9"/>
    <mergeCell ref="M9:O9"/>
    <mergeCell ref="S9:U9"/>
    <mergeCell ref="AA7:AJ7"/>
    <mergeCell ref="D8:F8"/>
    <mergeCell ref="G8:I8"/>
    <mergeCell ref="J8:L8"/>
    <mergeCell ref="M8:O8"/>
    <mergeCell ref="S8:U8"/>
    <mergeCell ref="W8:X8"/>
    <mergeCell ref="AE8:AF8"/>
    <mergeCell ref="AG8:AH8"/>
    <mergeCell ref="AI8:AJ8"/>
    <mergeCell ref="AE9:AF9"/>
    <mergeCell ref="AG9:AH9"/>
    <mergeCell ref="AI9:AJ9"/>
    <mergeCell ref="AE10:AF10"/>
    <mergeCell ref="AG10:AH10"/>
    <mergeCell ref="AI10:AJ10"/>
    <mergeCell ref="D24:F24"/>
    <mergeCell ref="G24:I24"/>
    <mergeCell ref="J24:L24"/>
    <mergeCell ref="M24:O24"/>
    <mergeCell ref="S24:U24"/>
    <mergeCell ref="V191:X191"/>
    <mergeCell ref="H192:J192"/>
    <mergeCell ref="K192:M192"/>
    <mergeCell ref="O192:Q192"/>
    <mergeCell ref="R192:U192"/>
    <mergeCell ref="V192:X192"/>
    <mergeCell ref="H191:J191"/>
    <mergeCell ref="K191:M191"/>
    <mergeCell ref="O191:Q191"/>
    <mergeCell ref="R191:U191"/>
    <mergeCell ref="H194:J194"/>
    <mergeCell ref="K194:M194"/>
    <mergeCell ref="O194:Q194"/>
    <mergeCell ref="R194:U194"/>
    <mergeCell ref="V194:X194"/>
    <mergeCell ref="H193:J193"/>
    <mergeCell ref="K193:M193"/>
    <mergeCell ref="O193:Q193"/>
    <mergeCell ref="R193:U193"/>
    <mergeCell ref="V193:X193"/>
    <mergeCell ref="H201:J201"/>
    <mergeCell ref="K201:M201"/>
    <mergeCell ref="O201:Q201"/>
    <mergeCell ref="V201:X201"/>
    <mergeCell ref="H196:J196"/>
    <mergeCell ref="K196:M196"/>
    <mergeCell ref="O196:Q196"/>
    <mergeCell ref="R196:U196"/>
    <mergeCell ref="V196:X196"/>
    <mergeCell ref="H197:J197"/>
    <mergeCell ref="K197:M197"/>
    <mergeCell ref="O197:Q197"/>
    <mergeCell ref="R197:U197"/>
    <mergeCell ref="V197:X197"/>
    <mergeCell ref="H199:J199"/>
    <mergeCell ref="K199:M199"/>
    <mergeCell ref="O199:Q199"/>
    <mergeCell ref="R199:U199"/>
    <mergeCell ref="V199:X199"/>
    <mergeCell ref="O202:Q202"/>
    <mergeCell ref="V202:X202"/>
    <mergeCell ref="H203:J203"/>
    <mergeCell ref="K203:M203"/>
    <mergeCell ref="O203:Q203"/>
    <mergeCell ref="R203:U203"/>
    <mergeCell ref="V203:X203"/>
    <mergeCell ref="H205:J205"/>
    <mergeCell ref="K205:M205"/>
    <mergeCell ref="O205:Q205"/>
    <mergeCell ref="R205:U205"/>
    <mergeCell ref="V205:X205"/>
  </mergeCells>
  <hyperlinks>
    <hyperlink ref="V2:Z2" location="Programmbeschreibung!A220:A280" display="&gt;&gt;&gt;&gt;&gt;&gt;  Zurück  &lt;&lt;&lt;&lt;&lt;&lt;&lt;&lt;"/>
  </hyperlink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2"/>
  <sheetViews>
    <sheetView showGridLines="0" showZeros="0" zoomScaleNormal="100" workbookViewId="0"/>
  </sheetViews>
  <sheetFormatPr baseColWidth="10" defaultColWidth="3.7109375" defaultRowHeight="12.75"/>
  <cols>
    <col min="1" max="1" width="1.28515625" style="84" customWidth="1"/>
    <col min="2" max="2" width="8.7109375" style="117" customWidth="1"/>
    <col min="3" max="9" width="3.5703125" style="84" customWidth="1"/>
    <col min="10" max="10" width="4.140625" style="84" customWidth="1"/>
    <col min="11" max="30" width="3.5703125" style="84" customWidth="1"/>
    <col min="31" max="32" width="2" style="84" customWidth="1"/>
    <col min="33" max="33" width="0.5703125" style="84" customWidth="1"/>
    <col min="34" max="38" width="2" style="84" customWidth="1"/>
    <col min="39" max="39" width="0.5703125" style="84" customWidth="1"/>
    <col min="40" max="16384" width="3.7109375" style="84"/>
  </cols>
  <sheetData>
    <row r="1" spans="1:28" s="83" customFormat="1" ht="3.2" customHeight="1">
      <c r="A1" s="81"/>
      <c r="B1" s="82"/>
    </row>
    <row r="2" spans="1:28" ht="3.2" customHeight="1">
      <c r="B2" s="85"/>
      <c r="C2" s="86"/>
      <c r="D2" s="86"/>
      <c r="E2" s="86"/>
      <c r="F2" s="86"/>
      <c r="G2" s="86"/>
      <c r="H2" s="86"/>
      <c r="I2" s="86"/>
      <c r="J2" s="86"/>
      <c r="K2" s="86"/>
      <c r="L2" s="86"/>
      <c r="M2" s="86"/>
      <c r="N2" s="86"/>
      <c r="O2" s="87"/>
    </row>
    <row r="3" spans="1:28" ht="12.75" customHeight="1">
      <c r="B3" s="88"/>
      <c r="C3" s="89" t="s">
        <v>4</v>
      </c>
      <c r="D3" s="90"/>
      <c r="E3" s="90"/>
      <c r="F3" s="90"/>
      <c r="G3" s="90"/>
      <c r="H3" s="90"/>
      <c r="I3" s="90"/>
      <c r="J3" s="90"/>
      <c r="K3" s="90"/>
      <c r="L3" s="90"/>
      <c r="M3" s="90"/>
      <c r="N3" s="90"/>
      <c r="O3" s="91"/>
      <c r="S3" s="1759" t="str">
        <f>"Solarertrag: "&amp;J4&amp;""</f>
        <v>Solarertrag: Stuttgart</v>
      </c>
      <c r="T3" s="1759"/>
      <c r="U3" s="1759"/>
      <c r="V3" s="1759"/>
      <c r="W3" s="1759"/>
      <c r="X3" s="1759"/>
      <c r="Y3" s="1759"/>
      <c r="Z3" s="1759"/>
      <c r="AA3" s="1759"/>
      <c r="AB3" s="1759"/>
    </row>
    <row r="4" spans="1:28" ht="12.75" customHeight="1">
      <c r="B4" s="88"/>
      <c r="C4" s="92" t="s">
        <v>161</v>
      </c>
      <c r="D4" s="90"/>
      <c r="E4" s="90"/>
      <c r="F4" s="90"/>
      <c r="G4" s="90"/>
      <c r="H4" s="90"/>
      <c r="I4" s="90"/>
      <c r="J4" s="92" t="str">
        <f>IF(AC83=0,B64,B54)</f>
        <v>Stuttgart</v>
      </c>
      <c r="K4" s="90"/>
      <c r="L4" s="90"/>
      <c r="M4" s="90"/>
      <c r="N4" s="90"/>
      <c r="O4" s="91"/>
      <c r="S4" s="1759"/>
      <c r="T4" s="1759"/>
      <c r="U4" s="1759"/>
      <c r="V4" s="1759"/>
      <c r="W4" s="1759"/>
      <c r="X4" s="1759"/>
      <c r="Y4" s="1759"/>
      <c r="Z4" s="1759"/>
      <c r="AA4" s="1759"/>
      <c r="AB4" s="1759"/>
    </row>
    <row r="5" spans="1:28" ht="2.1" customHeight="1">
      <c r="B5" s="88"/>
      <c r="C5" s="93"/>
      <c r="D5" s="93"/>
      <c r="E5" s="93"/>
      <c r="F5" s="93"/>
      <c r="G5" s="93"/>
      <c r="H5" s="93"/>
      <c r="I5" s="93"/>
      <c r="J5" s="93"/>
      <c r="K5" s="93"/>
      <c r="L5" s="93"/>
      <c r="M5" s="93"/>
      <c r="N5" s="93"/>
      <c r="O5" s="91"/>
    </row>
    <row r="6" spans="1:28" ht="12.75" customHeight="1">
      <c r="B6" s="88"/>
      <c r="C6" s="93"/>
      <c r="D6" s="93"/>
      <c r="E6" s="93"/>
      <c r="F6" s="93"/>
      <c r="G6" s="93"/>
      <c r="H6" s="93"/>
      <c r="I6" s="93"/>
      <c r="J6" s="93"/>
      <c r="K6" s="93"/>
      <c r="L6" s="93"/>
      <c r="M6" s="93"/>
      <c r="N6" s="93"/>
      <c r="O6" s="91"/>
    </row>
    <row r="7" spans="1:28" ht="2.1" customHeight="1">
      <c r="B7" s="88"/>
      <c r="C7" s="93"/>
      <c r="D7" s="93"/>
      <c r="E7" s="93"/>
      <c r="F7" s="93"/>
      <c r="G7" s="93"/>
      <c r="H7" s="93"/>
      <c r="I7" s="93"/>
      <c r="J7" s="93"/>
      <c r="K7" s="93"/>
      <c r="L7" s="93"/>
      <c r="M7" s="93"/>
      <c r="N7" s="93"/>
      <c r="O7" s="91"/>
    </row>
    <row r="8" spans="1:28" ht="12.75" customHeight="1">
      <c r="B8" s="88"/>
      <c r="C8" s="93"/>
      <c r="D8" s="93"/>
      <c r="E8" s="1760" t="s">
        <v>197</v>
      </c>
      <c r="F8" s="1761"/>
      <c r="G8" s="1761"/>
      <c r="H8" s="1761"/>
      <c r="I8" s="1761"/>
      <c r="J8" s="93"/>
      <c r="K8" s="1761" t="s">
        <v>126</v>
      </c>
      <c r="L8" s="1761"/>
      <c r="M8" s="1761"/>
      <c r="N8" s="93"/>
      <c r="O8" s="91"/>
    </row>
    <row r="9" spans="1:28" ht="2.1" customHeight="1">
      <c r="B9" s="94"/>
      <c r="C9" s="95"/>
      <c r="D9" s="95"/>
      <c r="E9" s="95"/>
      <c r="F9" s="95"/>
      <c r="G9" s="95"/>
      <c r="H9" s="95"/>
      <c r="I9" s="95"/>
      <c r="J9" s="95"/>
      <c r="K9" s="95"/>
      <c r="L9" s="95"/>
      <c r="M9" s="95"/>
      <c r="N9" s="95"/>
      <c r="O9" s="96"/>
    </row>
    <row r="10" spans="1:28" ht="12.75" customHeight="1">
      <c r="B10" s="94"/>
      <c r="C10" s="90" t="s">
        <v>127</v>
      </c>
      <c r="D10" s="90"/>
      <c r="E10" s="97"/>
      <c r="F10" s="1752">
        <f>E82</f>
        <v>0.91300000000000003</v>
      </c>
      <c r="G10" s="1752"/>
      <c r="H10" s="1752"/>
      <c r="I10" s="98">
        <v>31</v>
      </c>
      <c r="J10" s="98">
        <f t="shared" ref="J10:J32" si="0">F10*I10</f>
        <v>28.303000000000001</v>
      </c>
      <c r="K10" s="1753">
        <f>J10/$J$34*100</f>
        <v>2.5608174927820651</v>
      </c>
      <c r="L10" s="1753"/>
      <c r="M10" s="90" t="s">
        <v>128</v>
      </c>
      <c r="N10" s="95"/>
      <c r="O10" s="96"/>
    </row>
    <row r="11" spans="1:28" ht="2.1" customHeight="1">
      <c r="B11" s="94"/>
      <c r="C11" s="95"/>
      <c r="D11" s="95"/>
      <c r="E11" s="99"/>
      <c r="F11" s="171"/>
      <c r="G11" s="171"/>
      <c r="H11" s="172"/>
      <c r="I11" s="98"/>
      <c r="J11" s="98">
        <f t="shared" si="0"/>
        <v>0</v>
      </c>
      <c r="K11" s="95"/>
      <c r="L11" s="95"/>
      <c r="M11" s="95"/>
      <c r="N11" s="95"/>
      <c r="O11" s="96"/>
    </row>
    <row r="12" spans="1:28" ht="12.75" customHeight="1">
      <c r="B12" s="94"/>
      <c r="C12" s="90" t="s">
        <v>129</v>
      </c>
      <c r="D12" s="90"/>
      <c r="E12" s="97"/>
      <c r="F12" s="1752">
        <f>G82</f>
        <v>1.6439999999999999</v>
      </c>
      <c r="G12" s="1752"/>
      <c r="H12" s="1752"/>
      <c r="I12" s="98">
        <v>28</v>
      </c>
      <c r="J12" s="98">
        <f t="shared" si="0"/>
        <v>46.031999999999996</v>
      </c>
      <c r="K12" s="1753">
        <f>J12/$J$34*100</f>
        <v>4.1649136426436781</v>
      </c>
      <c r="L12" s="1753"/>
      <c r="M12" s="90" t="s">
        <v>128</v>
      </c>
      <c r="N12" s="95"/>
      <c r="O12" s="96"/>
    </row>
    <row r="13" spans="1:28" ht="2.1" customHeight="1">
      <c r="B13" s="94"/>
      <c r="C13" s="95"/>
      <c r="D13" s="95"/>
      <c r="E13" s="99"/>
      <c r="F13" s="171"/>
      <c r="G13" s="171"/>
      <c r="H13" s="172"/>
      <c r="I13" s="98"/>
      <c r="J13" s="98">
        <f t="shared" si="0"/>
        <v>0</v>
      </c>
      <c r="K13" s="95"/>
      <c r="L13" s="95"/>
      <c r="M13" s="95"/>
      <c r="N13" s="95"/>
      <c r="O13" s="96"/>
    </row>
    <row r="14" spans="1:28" ht="12.75" customHeight="1">
      <c r="B14" s="94"/>
      <c r="C14" s="90" t="s">
        <v>130</v>
      </c>
      <c r="D14" s="90"/>
      <c r="E14" s="97"/>
      <c r="F14" s="1752">
        <f>I82</f>
        <v>2.5680000000000001</v>
      </c>
      <c r="G14" s="1752"/>
      <c r="H14" s="1752"/>
      <c r="I14" s="98">
        <v>31</v>
      </c>
      <c r="J14" s="98">
        <f t="shared" si="0"/>
        <v>79.608000000000004</v>
      </c>
      <c r="K14" s="1753">
        <f>J14/$J$34*100</f>
        <v>7.202825105656455</v>
      </c>
      <c r="L14" s="1753"/>
      <c r="M14" s="90" t="s">
        <v>128</v>
      </c>
      <c r="N14" s="95"/>
      <c r="O14" s="96"/>
    </row>
    <row r="15" spans="1:28" ht="2.1" customHeight="1">
      <c r="B15" s="94"/>
      <c r="C15" s="95"/>
      <c r="D15" s="95"/>
      <c r="E15" s="99"/>
      <c r="F15" s="171"/>
      <c r="G15" s="171"/>
      <c r="H15" s="172"/>
      <c r="I15" s="98"/>
      <c r="J15" s="98">
        <f t="shared" si="0"/>
        <v>0</v>
      </c>
      <c r="K15" s="95"/>
      <c r="L15" s="95"/>
      <c r="M15" s="95"/>
      <c r="N15" s="95"/>
      <c r="O15" s="96"/>
    </row>
    <row r="16" spans="1:28" ht="12.75" customHeight="1">
      <c r="B16" s="94"/>
      <c r="C16" s="90" t="s">
        <v>131</v>
      </c>
      <c r="D16" s="90"/>
      <c r="E16" s="97"/>
      <c r="F16" s="1752">
        <f>K82</f>
        <v>3.9079999999999999</v>
      </c>
      <c r="G16" s="1752"/>
      <c r="H16" s="1752"/>
      <c r="I16" s="98">
        <v>30</v>
      </c>
      <c r="J16" s="98">
        <f t="shared" si="0"/>
        <v>117.24</v>
      </c>
      <c r="K16" s="1753">
        <f>J16/$J$34*100</f>
        <v>10.607718010591432</v>
      </c>
      <c r="L16" s="1753"/>
      <c r="M16" s="90" t="s">
        <v>128</v>
      </c>
      <c r="N16" s="95"/>
      <c r="O16" s="96"/>
    </row>
    <row r="17" spans="2:15" ht="2.1" customHeight="1">
      <c r="B17" s="94"/>
      <c r="C17" s="95"/>
      <c r="D17" s="95"/>
      <c r="E17" s="99"/>
      <c r="F17" s="171"/>
      <c r="G17" s="171"/>
      <c r="H17" s="172"/>
      <c r="I17" s="98"/>
      <c r="J17" s="98">
        <f t="shared" si="0"/>
        <v>0</v>
      </c>
      <c r="K17" s="95"/>
      <c r="L17" s="95"/>
      <c r="M17" s="95"/>
      <c r="N17" s="95"/>
      <c r="O17" s="96"/>
    </row>
    <row r="18" spans="2:15" ht="12.75" customHeight="1">
      <c r="B18" s="94"/>
      <c r="C18" s="90" t="s">
        <v>132</v>
      </c>
      <c r="D18" s="90"/>
      <c r="E18" s="97"/>
      <c r="F18" s="1752">
        <f>M82</f>
        <v>4.9349999999999996</v>
      </c>
      <c r="G18" s="1752"/>
      <c r="H18" s="1752"/>
      <c r="I18" s="98">
        <v>31</v>
      </c>
      <c r="J18" s="98">
        <f t="shared" si="0"/>
        <v>152.98499999999999</v>
      </c>
      <c r="K18" s="1753">
        <f>J18/$J$34*100</f>
        <v>13.841877685519705</v>
      </c>
      <c r="L18" s="1753"/>
      <c r="M18" s="90" t="s">
        <v>128</v>
      </c>
      <c r="N18" s="95"/>
      <c r="O18" s="96"/>
    </row>
    <row r="19" spans="2:15" ht="2.1" customHeight="1">
      <c r="B19" s="94"/>
      <c r="C19" s="95"/>
      <c r="D19" s="95"/>
      <c r="E19" s="99"/>
      <c r="F19" s="171"/>
      <c r="G19" s="171"/>
      <c r="H19" s="172"/>
      <c r="I19" s="98"/>
      <c r="J19" s="98">
        <f t="shared" si="0"/>
        <v>0</v>
      </c>
      <c r="K19" s="95"/>
      <c r="L19" s="95"/>
      <c r="M19" s="95"/>
      <c r="N19" s="95"/>
      <c r="O19" s="96"/>
    </row>
    <row r="20" spans="2:15" ht="12.75" customHeight="1">
      <c r="B20" s="94"/>
      <c r="C20" s="90" t="s">
        <v>133</v>
      </c>
      <c r="D20" s="90"/>
      <c r="E20" s="97"/>
      <c r="F20" s="1752">
        <f>O82</f>
        <v>5.2549999999999999</v>
      </c>
      <c r="G20" s="1752"/>
      <c r="H20" s="1752"/>
      <c r="I20" s="98">
        <v>30</v>
      </c>
      <c r="J20" s="98">
        <f t="shared" si="0"/>
        <v>157.65</v>
      </c>
      <c r="K20" s="1753">
        <f>J20/$J$34*100</f>
        <v>14.263960630925787</v>
      </c>
      <c r="L20" s="1753"/>
      <c r="M20" s="90" t="s">
        <v>128</v>
      </c>
      <c r="N20" s="95"/>
      <c r="O20" s="96"/>
    </row>
    <row r="21" spans="2:15" ht="2.1" customHeight="1">
      <c r="B21" s="94"/>
      <c r="C21" s="95"/>
      <c r="D21" s="95"/>
      <c r="E21" s="99"/>
      <c r="F21" s="171"/>
      <c r="G21" s="171"/>
      <c r="H21" s="172"/>
      <c r="I21" s="98"/>
      <c r="J21" s="98">
        <f t="shared" si="0"/>
        <v>0</v>
      </c>
      <c r="K21" s="95"/>
      <c r="L21" s="95"/>
      <c r="M21" s="95"/>
      <c r="N21" s="95"/>
      <c r="O21" s="96"/>
    </row>
    <row r="22" spans="2:15" ht="12.75" customHeight="1">
      <c r="B22" s="94"/>
      <c r="C22" s="90" t="s">
        <v>134</v>
      </c>
      <c r="D22" s="90"/>
      <c r="E22" s="97"/>
      <c r="F22" s="1752">
        <f>Q82</f>
        <v>5.375</v>
      </c>
      <c r="G22" s="1752"/>
      <c r="H22" s="1752"/>
      <c r="I22" s="98">
        <v>31</v>
      </c>
      <c r="J22" s="98">
        <f t="shared" si="0"/>
        <v>166.625</v>
      </c>
      <c r="K22" s="1753">
        <f>J22/$J$34*100</f>
        <v>15.076006597703834</v>
      </c>
      <c r="L22" s="1753"/>
      <c r="M22" s="90" t="s">
        <v>128</v>
      </c>
      <c r="N22" s="95"/>
      <c r="O22" s="96"/>
    </row>
    <row r="23" spans="2:15" ht="2.1" customHeight="1">
      <c r="B23" s="94"/>
      <c r="C23" s="95"/>
      <c r="D23" s="95"/>
      <c r="E23" s="99"/>
      <c r="F23" s="171"/>
      <c r="G23" s="171"/>
      <c r="H23" s="172"/>
      <c r="I23" s="98"/>
      <c r="J23" s="98">
        <f t="shared" si="0"/>
        <v>0</v>
      </c>
      <c r="K23" s="95"/>
      <c r="L23" s="95"/>
      <c r="M23" s="95"/>
      <c r="N23" s="95"/>
      <c r="O23" s="96"/>
    </row>
    <row r="24" spans="2:15" ht="12.75" customHeight="1">
      <c r="B24" s="94"/>
      <c r="C24" s="90" t="s">
        <v>135</v>
      </c>
      <c r="D24" s="90"/>
      <c r="E24" s="97"/>
      <c r="F24" s="1752">
        <f>S82</f>
        <v>4.6879999999999997</v>
      </c>
      <c r="G24" s="1752"/>
      <c r="H24" s="1752"/>
      <c r="I24" s="98">
        <v>31</v>
      </c>
      <c r="J24" s="98">
        <f t="shared" si="0"/>
        <v>145.328</v>
      </c>
      <c r="K24" s="1753">
        <f>J24/$J$34*100</f>
        <v>13.149082591634526</v>
      </c>
      <c r="L24" s="1753"/>
      <c r="M24" s="90" t="s">
        <v>128</v>
      </c>
      <c r="N24" s="95"/>
      <c r="O24" s="96"/>
    </row>
    <row r="25" spans="2:15" ht="2.1" customHeight="1">
      <c r="B25" s="94"/>
      <c r="C25" s="95"/>
      <c r="D25" s="95"/>
      <c r="E25" s="95"/>
      <c r="F25" s="172"/>
      <c r="G25" s="172"/>
      <c r="H25" s="172"/>
      <c r="I25" s="98"/>
      <c r="J25" s="98">
        <f t="shared" si="0"/>
        <v>0</v>
      </c>
      <c r="K25" s="95"/>
      <c r="L25" s="95"/>
      <c r="M25" s="95"/>
      <c r="N25" s="95"/>
      <c r="O25" s="96"/>
    </row>
    <row r="26" spans="2:15" ht="12.75" customHeight="1">
      <c r="B26" s="94"/>
      <c r="C26" s="90" t="s">
        <v>136</v>
      </c>
      <c r="D26" s="90"/>
      <c r="E26" s="97"/>
      <c r="F26" s="1752">
        <f>U82</f>
        <v>3.286</v>
      </c>
      <c r="G26" s="1752"/>
      <c r="H26" s="1752"/>
      <c r="I26" s="98">
        <v>30</v>
      </c>
      <c r="J26" s="98">
        <f t="shared" si="0"/>
        <v>98.58</v>
      </c>
      <c r="K26" s="1753">
        <f>J26/$J$34*100</f>
        <v>8.9193862289671042</v>
      </c>
      <c r="L26" s="1753"/>
      <c r="M26" s="90" t="s">
        <v>128</v>
      </c>
      <c r="N26" s="95"/>
      <c r="O26" s="96"/>
    </row>
    <row r="27" spans="2:15" ht="2.1" customHeight="1">
      <c r="B27" s="94"/>
      <c r="C27" s="95"/>
      <c r="D27" s="95"/>
      <c r="E27" s="95"/>
      <c r="F27" s="171"/>
      <c r="G27" s="171"/>
      <c r="H27" s="172"/>
      <c r="I27" s="98"/>
      <c r="J27" s="98">
        <f t="shared" si="0"/>
        <v>0</v>
      </c>
      <c r="K27" s="95"/>
      <c r="L27" s="95"/>
      <c r="M27" s="95"/>
      <c r="N27" s="95"/>
      <c r="O27" s="96"/>
    </row>
    <row r="28" spans="2:15" ht="12.75" customHeight="1">
      <c r="B28" s="94"/>
      <c r="C28" s="90" t="s">
        <v>137</v>
      </c>
      <c r="D28" s="90"/>
      <c r="E28" s="97"/>
      <c r="F28" s="1752">
        <f>W82</f>
        <v>1.9079999999999999</v>
      </c>
      <c r="G28" s="1752"/>
      <c r="H28" s="1752"/>
      <c r="I28" s="98">
        <v>31</v>
      </c>
      <c r="J28" s="98">
        <f t="shared" si="0"/>
        <v>59.147999999999996</v>
      </c>
      <c r="K28" s="1753">
        <f>J28/$J$34*100</f>
        <v>5.3516317373802629</v>
      </c>
      <c r="L28" s="1753"/>
      <c r="M28" s="90" t="s">
        <v>128</v>
      </c>
      <c r="N28" s="95"/>
      <c r="O28" s="96"/>
    </row>
    <row r="29" spans="2:15" ht="2.1" customHeight="1">
      <c r="B29" s="94"/>
      <c r="C29" s="95"/>
      <c r="D29" s="95"/>
      <c r="E29" s="95"/>
      <c r="F29" s="172"/>
      <c r="G29" s="172"/>
      <c r="H29" s="172"/>
      <c r="I29" s="98"/>
      <c r="J29" s="98">
        <f t="shared" si="0"/>
        <v>0</v>
      </c>
      <c r="K29" s="95"/>
      <c r="L29" s="95"/>
      <c r="M29" s="95"/>
      <c r="N29" s="95"/>
      <c r="O29" s="96"/>
    </row>
    <row r="30" spans="2:15" ht="12.75" customHeight="1">
      <c r="B30" s="94"/>
      <c r="C30" s="90" t="s">
        <v>138</v>
      </c>
      <c r="D30" s="90"/>
      <c r="E30" s="97"/>
      <c r="F30" s="1752">
        <f>Y82</f>
        <v>1.0740000000000001</v>
      </c>
      <c r="G30" s="1752"/>
      <c r="H30" s="1752"/>
      <c r="I30" s="98">
        <v>30</v>
      </c>
      <c r="J30" s="98">
        <f t="shared" si="0"/>
        <v>32.22</v>
      </c>
      <c r="K30" s="1753">
        <f>J30/$J$34*100</f>
        <v>2.9152224010683723</v>
      </c>
      <c r="L30" s="1753"/>
      <c r="M30" s="90" t="s">
        <v>128</v>
      </c>
      <c r="N30" s="95"/>
      <c r="O30" s="96"/>
    </row>
    <row r="31" spans="2:15" ht="2.1" customHeight="1">
      <c r="B31" s="94"/>
      <c r="C31" s="95"/>
      <c r="D31" s="95"/>
      <c r="E31" s="95"/>
      <c r="F31" s="171"/>
      <c r="G31" s="171"/>
      <c r="H31" s="172"/>
      <c r="I31" s="98"/>
      <c r="J31" s="98">
        <f t="shared" si="0"/>
        <v>0</v>
      </c>
      <c r="K31" s="95"/>
      <c r="L31" s="95"/>
      <c r="M31" s="95"/>
      <c r="N31" s="95"/>
      <c r="O31" s="96"/>
    </row>
    <row r="32" spans="2:15" ht="12.75" customHeight="1" thickBot="1">
      <c r="B32" s="100"/>
      <c r="C32" s="101" t="s">
        <v>139</v>
      </c>
      <c r="D32" s="101"/>
      <c r="E32" s="102"/>
      <c r="F32" s="1765">
        <f>AA82</f>
        <v>0.69399999999999995</v>
      </c>
      <c r="G32" s="1765"/>
      <c r="H32" s="1765"/>
      <c r="I32" s="103">
        <v>31</v>
      </c>
      <c r="J32" s="103">
        <f t="shared" si="0"/>
        <v>21.513999999999999</v>
      </c>
      <c r="K32" s="1762">
        <f>J32/$J$34*100</f>
        <v>1.9465578751267834</v>
      </c>
      <c r="L32" s="1762"/>
      <c r="M32" s="101" t="s">
        <v>128</v>
      </c>
      <c r="N32" s="104"/>
      <c r="O32" s="105"/>
    </row>
    <row r="33" spans="1:31" ht="2.1" customHeight="1">
      <c r="B33" s="94"/>
      <c r="C33" s="95"/>
      <c r="D33" s="95"/>
      <c r="E33" s="95"/>
      <c r="F33" s="95"/>
      <c r="G33" s="95"/>
      <c r="H33" s="95"/>
      <c r="I33" s="95"/>
      <c r="J33" s="95"/>
      <c r="K33" s="95"/>
      <c r="L33" s="95"/>
      <c r="M33" s="95"/>
      <c r="N33" s="95"/>
      <c r="O33" s="96"/>
    </row>
    <row r="34" spans="1:31" s="106" customFormat="1" ht="12.75" customHeight="1">
      <c r="B34" s="147"/>
      <c r="C34" s="107"/>
      <c r="D34" s="107"/>
      <c r="E34" s="107"/>
      <c r="F34" s="1766"/>
      <c r="G34" s="1766"/>
      <c r="H34" s="1766"/>
      <c r="I34" s="107"/>
      <c r="J34" s="108">
        <f>SUM(J10:J33)</f>
        <v>1105.2329999999999</v>
      </c>
      <c r="K34" s="107"/>
      <c r="L34" s="107"/>
      <c r="M34" s="107"/>
      <c r="N34" s="107"/>
      <c r="O34" s="109"/>
    </row>
    <row r="35" spans="1:31" s="106" customFormat="1" ht="12.75" customHeight="1">
      <c r="B35" s="147" t="s">
        <v>3</v>
      </c>
      <c r="C35" s="107" t="s">
        <v>2</v>
      </c>
      <c r="D35" s="107"/>
      <c r="E35" s="107"/>
      <c r="F35" s="1766">
        <f>AC82</f>
        <v>1105.2329999999999</v>
      </c>
      <c r="G35" s="1766"/>
      <c r="H35" s="1766"/>
      <c r="I35" s="107"/>
      <c r="J35" s="107"/>
      <c r="K35" s="1763">
        <f>SUM(K10:L32)</f>
        <v>100</v>
      </c>
      <c r="L35" s="1764"/>
      <c r="M35" s="107" t="s">
        <v>128</v>
      </c>
      <c r="N35" s="107"/>
      <c r="O35" s="109"/>
    </row>
    <row r="36" spans="1:31" ht="2.1" customHeight="1">
      <c r="B36" s="110"/>
      <c r="C36" s="111"/>
      <c r="D36" s="111"/>
      <c r="E36" s="111"/>
      <c r="F36" s="111"/>
      <c r="G36" s="111"/>
      <c r="H36" s="111"/>
      <c r="I36" s="111"/>
      <c r="J36" s="111"/>
      <c r="K36" s="111"/>
      <c r="L36" s="111"/>
      <c r="M36" s="111"/>
      <c r="N36" s="111"/>
      <c r="O36" s="112"/>
    </row>
    <row r="37" spans="1:31">
      <c r="B37" s="113" t="s">
        <v>140</v>
      </c>
      <c r="C37" s="111"/>
      <c r="D37" s="111"/>
      <c r="E37" s="111"/>
      <c r="F37" s="111"/>
      <c r="G37" s="111"/>
      <c r="H37" s="111"/>
      <c r="I37" s="111"/>
      <c r="J37" s="111"/>
      <c r="K37" s="111"/>
      <c r="L37" s="111"/>
      <c r="M37" s="111"/>
      <c r="N37" s="111"/>
      <c r="O37" s="112"/>
    </row>
    <row r="38" spans="1:31" ht="2.1" customHeight="1">
      <c r="B38" s="114"/>
      <c r="C38" s="115"/>
      <c r="D38" s="115"/>
      <c r="E38" s="115"/>
      <c r="F38" s="115"/>
      <c r="G38" s="115"/>
      <c r="H38" s="115"/>
      <c r="I38" s="115"/>
      <c r="J38" s="115"/>
      <c r="K38" s="115"/>
      <c r="L38" s="115"/>
      <c r="M38" s="115"/>
      <c r="N38" s="115"/>
      <c r="O38" s="116"/>
    </row>
    <row r="39" spans="1:31" ht="12.75" customHeight="1" thickBot="1"/>
    <row r="40" spans="1:31" ht="12.75" customHeight="1">
      <c r="A40" s="118"/>
      <c r="B40" s="119" t="s">
        <v>141</v>
      </c>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1" t="s">
        <v>140</v>
      </c>
      <c r="AE40" s="122"/>
    </row>
    <row r="41" spans="1:31" ht="6.4" customHeight="1">
      <c r="A41" s="123"/>
      <c r="B41" s="124"/>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25"/>
    </row>
    <row r="42" spans="1:31" ht="12.75" customHeight="1">
      <c r="A42" s="123"/>
      <c r="B42" s="124" t="s">
        <v>142</v>
      </c>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25"/>
    </row>
    <row r="43" spans="1:31" ht="12.75" customHeight="1">
      <c r="A43" s="123"/>
      <c r="B43" s="124" t="s">
        <v>143</v>
      </c>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25"/>
    </row>
    <row r="44" spans="1:31" s="106" customFormat="1" ht="12.75" customHeight="1">
      <c r="A44" s="126"/>
      <c r="B44" s="127" t="s">
        <v>144</v>
      </c>
      <c r="C44" s="128"/>
      <c r="D44" s="128"/>
      <c r="E44" s="1750" t="s">
        <v>127</v>
      </c>
      <c r="F44" s="1750"/>
      <c r="G44" s="1750" t="s">
        <v>129</v>
      </c>
      <c r="H44" s="1750"/>
      <c r="I44" s="1750" t="s">
        <v>145</v>
      </c>
      <c r="J44" s="1750"/>
      <c r="K44" s="1750" t="s">
        <v>131</v>
      </c>
      <c r="L44" s="1750"/>
      <c r="M44" s="1750" t="s">
        <v>132</v>
      </c>
      <c r="N44" s="1750"/>
      <c r="O44" s="1750" t="s">
        <v>133</v>
      </c>
      <c r="P44" s="1750"/>
      <c r="Q44" s="1750" t="s">
        <v>134</v>
      </c>
      <c r="R44" s="1750"/>
      <c r="S44" s="1750" t="s">
        <v>135</v>
      </c>
      <c r="T44" s="1750"/>
      <c r="U44" s="1750" t="s">
        <v>136</v>
      </c>
      <c r="V44" s="1750"/>
      <c r="W44" s="1750" t="s">
        <v>137</v>
      </c>
      <c r="X44" s="1750"/>
      <c r="Y44" s="1750" t="s">
        <v>138</v>
      </c>
      <c r="Z44" s="1750"/>
      <c r="AA44" s="1750" t="s">
        <v>139</v>
      </c>
      <c r="AB44" s="1750"/>
      <c r="AC44" s="1750" t="s">
        <v>146</v>
      </c>
      <c r="AD44" s="1750"/>
      <c r="AE44" s="130"/>
    </row>
    <row r="45" spans="1:31" s="106" customFormat="1" ht="12.75" customHeight="1">
      <c r="A45" s="126"/>
      <c r="B45" s="127"/>
      <c r="C45" s="128"/>
      <c r="D45" s="128"/>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751" t="s">
        <v>147</v>
      </c>
      <c r="AD45" s="1751"/>
      <c r="AE45" s="130"/>
    </row>
    <row r="46" spans="1:31" ht="11.45" customHeight="1">
      <c r="A46" s="123"/>
      <c r="B46" s="124" t="s">
        <v>148</v>
      </c>
      <c r="C46" s="111"/>
      <c r="D46" s="111"/>
      <c r="E46" s="1747">
        <v>0.60399999999999998</v>
      </c>
      <c r="F46" s="1747"/>
      <c r="G46" s="1747">
        <v>1.256</v>
      </c>
      <c r="H46" s="1747"/>
      <c r="I46" s="1747">
        <v>2.1949999999999998</v>
      </c>
      <c r="J46" s="1747"/>
      <c r="K46" s="1747">
        <v>3.758</v>
      </c>
      <c r="L46" s="1747"/>
      <c r="M46" s="1747">
        <v>4.91</v>
      </c>
      <c r="N46" s="1747"/>
      <c r="O46" s="1747">
        <v>4.992</v>
      </c>
      <c r="P46" s="1747"/>
      <c r="Q46" s="1747">
        <v>5.1520000000000001</v>
      </c>
      <c r="R46" s="1747"/>
      <c r="S46" s="1747">
        <v>4.3360000000000003</v>
      </c>
      <c r="T46" s="1747"/>
      <c r="U46" s="1747">
        <v>2.8519999999999999</v>
      </c>
      <c r="V46" s="1747"/>
      <c r="W46" s="1747">
        <v>1.8160000000000001</v>
      </c>
      <c r="X46" s="1747"/>
      <c r="Y46" s="1747">
        <v>0.78800000000000003</v>
      </c>
      <c r="Z46" s="1747"/>
      <c r="AA46" s="1747">
        <v>0.442</v>
      </c>
      <c r="AB46" s="1747"/>
      <c r="AC46" s="1749">
        <f t="shared" ref="AC46:AC57" si="1">E46*31+G46*28+I46*31+K46*30+M46*31+O46*30+Q46*31+S46*31+U46*30+W46*31+Y46*30+AA46*31</f>
        <v>1009.9729999999998</v>
      </c>
      <c r="AD46" s="1749"/>
      <c r="AE46" s="125"/>
    </row>
    <row r="47" spans="1:31" ht="11.45" customHeight="1">
      <c r="A47" s="123"/>
      <c r="B47" s="124" t="s">
        <v>150</v>
      </c>
      <c r="C47" s="111"/>
      <c r="D47" s="111"/>
      <c r="E47" s="1747">
        <v>0.65300000000000002</v>
      </c>
      <c r="F47" s="1747"/>
      <c r="G47" s="1747">
        <v>1.3120000000000001</v>
      </c>
      <c r="H47" s="1747"/>
      <c r="I47" s="1747">
        <v>2.1800000000000002</v>
      </c>
      <c r="J47" s="1747"/>
      <c r="K47" s="1747">
        <v>3.6190000000000002</v>
      </c>
      <c r="L47" s="1747"/>
      <c r="M47" s="1747">
        <v>4.6609999999999996</v>
      </c>
      <c r="N47" s="1747"/>
      <c r="O47" s="1747">
        <v>4.7789999999999999</v>
      </c>
      <c r="P47" s="1747"/>
      <c r="Q47" s="1747">
        <v>4.8140000000000001</v>
      </c>
      <c r="R47" s="1747"/>
      <c r="S47" s="1747">
        <v>4.0999999999999996</v>
      </c>
      <c r="T47" s="1747"/>
      <c r="U47" s="1747">
        <v>2.6739999999999999</v>
      </c>
      <c r="V47" s="1747"/>
      <c r="W47" s="1747">
        <v>1.6479999999999999</v>
      </c>
      <c r="X47" s="1747"/>
      <c r="Y47" s="1747">
        <v>0.81899999999999995</v>
      </c>
      <c r="Z47" s="1747"/>
      <c r="AA47" s="1747">
        <v>0.47599999999999998</v>
      </c>
      <c r="AB47" s="1747"/>
      <c r="AC47" s="1749">
        <f t="shared" si="1"/>
        <v>967.95800000000008</v>
      </c>
      <c r="AD47" s="1749"/>
      <c r="AE47" s="125"/>
    </row>
    <row r="48" spans="1:31" ht="11.45" customHeight="1">
      <c r="A48" s="123"/>
      <c r="B48" s="124" t="s">
        <v>151</v>
      </c>
      <c r="C48" s="111"/>
      <c r="D48" s="111"/>
      <c r="E48" s="1747">
        <v>0.78900000000000003</v>
      </c>
      <c r="F48" s="1747"/>
      <c r="G48" s="1747">
        <v>1.466</v>
      </c>
      <c r="H48" s="1747"/>
      <c r="I48" s="1747">
        <v>2.3730000000000002</v>
      </c>
      <c r="J48" s="1747"/>
      <c r="K48" s="1747">
        <v>3.7290000000000001</v>
      </c>
      <c r="L48" s="1747"/>
      <c r="M48" s="1747">
        <v>4.9320000000000004</v>
      </c>
      <c r="N48" s="1747"/>
      <c r="O48" s="1747">
        <v>5.0030000000000001</v>
      </c>
      <c r="P48" s="1747"/>
      <c r="Q48" s="1747">
        <v>5.0339999999999998</v>
      </c>
      <c r="R48" s="1747"/>
      <c r="S48" s="1747">
        <v>4.4359999999999999</v>
      </c>
      <c r="T48" s="1747"/>
      <c r="U48" s="1747">
        <v>2.94</v>
      </c>
      <c r="V48" s="1747"/>
      <c r="W48" s="1747">
        <v>1.84</v>
      </c>
      <c r="X48" s="1747"/>
      <c r="Y48" s="1747">
        <v>0.873</v>
      </c>
      <c r="Z48" s="1747"/>
      <c r="AA48" s="1747">
        <v>0.60199999999999998</v>
      </c>
      <c r="AB48" s="1747"/>
      <c r="AC48" s="1749">
        <f t="shared" si="1"/>
        <v>1037.5840000000001</v>
      </c>
      <c r="AD48" s="1749"/>
      <c r="AE48" s="125"/>
    </row>
    <row r="49" spans="1:31" ht="11.45" customHeight="1">
      <c r="A49" s="123"/>
      <c r="B49" s="124" t="s">
        <v>152</v>
      </c>
      <c r="C49" s="111"/>
      <c r="D49" s="111"/>
      <c r="E49" s="1747">
        <v>0.69</v>
      </c>
      <c r="F49" s="1747"/>
      <c r="G49" s="1747">
        <v>1.448</v>
      </c>
      <c r="H49" s="1747"/>
      <c r="I49" s="1747">
        <v>2.3559999999999999</v>
      </c>
      <c r="J49" s="1747"/>
      <c r="K49" s="1747">
        <v>3.8879999999999999</v>
      </c>
      <c r="L49" s="1747"/>
      <c r="M49" s="1747">
        <v>4.9379999999999997</v>
      </c>
      <c r="N49" s="1747"/>
      <c r="O49" s="1747">
        <v>5.319</v>
      </c>
      <c r="P49" s="1747"/>
      <c r="Q49" s="1747">
        <v>5.2249999999999996</v>
      </c>
      <c r="R49" s="1747"/>
      <c r="S49" s="1747">
        <v>4.5369999999999999</v>
      </c>
      <c r="T49" s="1747"/>
      <c r="U49" s="1747">
        <v>2.9750000000000001</v>
      </c>
      <c r="V49" s="1747"/>
      <c r="W49" s="1747">
        <v>1.663</v>
      </c>
      <c r="X49" s="1747"/>
      <c r="Y49" s="1747">
        <v>0.80300000000000005</v>
      </c>
      <c r="Z49" s="1747"/>
      <c r="AA49" s="1747">
        <v>0.53600000000000003</v>
      </c>
      <c r="AB49" s="1747"/>
      <c r="AC49" s="1749">
        <f t="shared" si="1"/>
        <v>1048.3890000000001</v>
      </c>
      <c r="AD49" s="1749"/>
      <c r="AE49" s="125"/>
    </row>
    <row r="50" spans="1:31" ht="11.45" customHeight="1">
      <c r="A50" s="123"/>
      <c r="B50" s="124" t="s">
        <v>158</v>
      </c>
      <c r="C50" s="111"/>
      <c r="D50" s="111"/>
      <c r="E50" s="1747">
        <v>0.879</v>
      </c>
      <c r="F50" s="1747"/>
      <c r="G50" s="1747">
        <v>1.607</v>
      </c>
      <c r="H50" s="1747"/>
      <c r="I50" s="1747">
        <v>2.661</v>
      </c>
      <c r="J50" s="1747"/>
      <c r="K50" s="1747">
        <v>3.9</v>
      </c>
      <c r="L50" s="1747"/>
      <c r="M50" s="1747">
        <v>4.8879999999999999</v>
      </c>
      <c r="N50" s="1747"/>
      <c r="O50" s="1747">
        <v>5.4980000000000002</v>
      </c>
      <c r="P50" s="1747"/>
      <c r="Q50" s="1747">
        <v>5.5720000000000001</v>
      </c>
      <c r="R50" s="1747"/>
      <c r="S50" s="1747">
        <v>4.891</v>
      </c>
      <c r="T50" s="1747"/>
      <c r="U50" s="1747">
        <v>3.4039999999999999</v>
      </c>
      <c r="V50" s="1747"/>
      <c r="W50" s="1747">
        <v>1.97</v>
      </c>
      <c r="X50" s="1747"/>
      <c r="Y50" s="1747">
        <v>1.0629999999999999</v>
      </c>
      <c r="Z50" s="1747"/>
      <c r="AA50" s="1747">
        <v>0.69299999999999995</v>
      </c>
      <c r="AB50" s="1747"/>
      <c r="AC50" s="1749">
        <f t="shared" si="1"/>
        <v>1129.1199999999999</v>
      </c>
      <c r="AD50" s="1749"/>
      <c r="AE50" s="125"/>
    </row>
    <row r="51" spans="1:31" ht="11.45" customHeight="1">
      <c r="A51" s="123"/>
      <c r="B51" s="124" t="s">
        <v>149</v>
      </c>
      <c r="C51" s="111"/>
      <c r="D51" s="111"/>
      <c r="E51" s="1747">
        <v>0.53800000000000003</v>
      </c>
      <c r="F51" s="1747"/>
      <c r="G51" s="1747">
        <v>1.101</v>
      </c>
      <c r="H51" s="1747"/>
      <c r="I51" s="1747">
        <v>2.0190000000000001</v>
      </c>
      <c r="J51" s="1747"/>
      <c r="K51" s="1747">
        <v>3.544</v>
      </c>
      <c r="L51" s="1747"/>
      <c r="M51" s="1747">
        <v>4.827</v>
      </c>
      <c r="N51" s="1747"/>
      <c r="O51" s="1747">
        <v>4.7560000000000002</v>
      </c>
      <c r="P51" s="1747"/>
      <c r="Q51" s="1747">
        <v>4.8499999999999996</v>
      </c>
      <c r="R51" s="1747"/>
      <c r="S51" s="1747">
        <v>4.1120000000000001</v>
      </c>
      <c r="T51" s="1747"/>
      <c r="U51" s="1747">
        <v>2.6459999999999999</v>
      </c>
      <c r="V51" s="1747"/>
      <c r="W51" s="1747">
        <v>1.5309999999999999</v>
      </c>
      <c r="X51" s="1747"/>
      <c r="Y51" s="1747">
        <v>0.68100000000000005</v>
      </c>
      <c r="Z51" s="1747"/>
      <c r="AA51" s="1747">
        <v>0.378</v>
      </c>
      <c r="AB51" s="1747"/>
      <c r="AC51" s="1749">
        <f t="shared" si="1"/>
        <v>945.54299999999989</v>
      </c>
      <c r="AD51" s="1749"/>
      <c r="AE51" s="125"/>
    </row>
    <row r="52" spans="1:31" ht="11.45" customHeight="1">
      <c r="A52" s="123"/>
      <c r="B52" s="124" t="s">
        <v>155</v>
      </c>
      <c r="C52" s="111"/>
      <c r="D52" s="111"/>
      <c r="E52" s="1748">
        <v>0.75700000000000001</v>
      </c>
      <c r="F52" s="1748"/>
      <c r="G52" s="1747">
        <v>1.4910000000000001</v>
      </c>
      <c r="H52" s="1747"/>
      <c r="I52" s="1747">
        <v>2.4350000000000001</v>
      </c>
      <c r="J52" s="1747"/>
      <c r="K52" s="1747">
        <v>3.9129999999999998</v>
      </c>
      <c r="L52" s="1747"/>
      <c r="M52" s="1747">
        <v>4.968</v>
      </c>
      <c r="N52" s="1747"/>
      <c r="O52" s="1747">
        <v>5.226</v>
      </c>
      <c r="P52" s="1747"/>
      <c r="Q52" s="1747">
        <v>5.234</v>
      </c>
      <c r="R52" s="1747"/>
      <c r="S52" s="1747">
        <v>4.5519999999999996</v>
      </c>
      <c r="T52" s="1747"/>
      <c r="U52" s="1747">
        <v>3.14</v>
      </c>
      <c r="V52" s="1747"/>
      <c r="W52" s="1747">
        <v>1.756</v>
      </c>
      <c r="X52" s="1747"/>
      <c r="Y52" s="1747">
        <v>0.90900000000000003</v>
      </c>
      <c r="Z52" s="1747"/>
      <c r="AA52" s="1747">
        <v>0.56599999999999995</v>
      </c>
      <c r="AB52" s="1747"/>
      <c r="AC52" s="1749">
        <f t="shared" si="1"/>
        <v>1065.6960000000001</v>
      </c>
      <c r="AD52" s="1749"/>
      <c r="AE52" s="125"/>
    </row>
    <row r="53" spans="1:31" ht="11.45" customHeight="1">
      <c r="A53" s="123"/>
      <c r="B53" s="124" t="s">
        <v>154</v>
      </c>
      <c r="C53" s="111"/>
      <c r="D53" s="111"/>
      <c r="E53" s="1747">
        <v>1.087</v>
      </c>
      <c r="F53" s="1747"/>
      <c r="G53" s="1747">
        <v>1.873</v>
      </c>
      <c r="H53" s="1747"/>
      <c r="I53" s="1747">
        <v>2.8330000000000002</v>
      </c>
      <c r="J53" s="1747"/>
      <c r="K53" s="1747">
        <v>3.9580000000000002</v>
      </c>
      <c r="L53" s="1747"/>
      <c r="M53" s="1747">
        <v>5.0979999999999999</v>
      </c>
      <c r="N53" s="1747"/>
      <c r="O53" s="1747">
        <v>5.3460000000000001</v>
      </c>
      <c r="P53" s="1747"/>
      <c r="Q53" s="1747">
        <v>5.4249999999999998</v>
      </c>
      <c r="R53" s="1747"/>
      <c r="S53" s="1747">
        <v>4.7220000000000004</v>
      </c>
      <c r="T53" s="1747"/>
      <c r="U53" s="1747">
        <v>3.3969999999999998</v>
      </c>
      <c r="V53" s="1747"/>
      <c r="W53" s="1747">
        <v>2.0259999999999998</v>
      </c>
      <c r="X53" s="1747"/>
      <c r="Y53" s="1747">
        <v>1.151</v>
      </c>
      <c r="Z53" s="1747"/>
      <c r="AA53" s="1747">
        <v>0.79700000000000004</v>
      </c>
      <c r="AB53" s="1747"/>
      <c r="AC53" s="1749">
        <f t="shared" si="1"/>
        <v>1149.6320000000001</v>
      </c>
      <c r="AD53" s="1749"/>
      <c r="AE53" s="125"/>
    </row>
    <row r="54" spans="1:31" ht="11.45" customHeight="1">
      <c r="A54" s="123"/>
      <c r="B54" s="124" t="s">
        <v>157</v>
      </c>
      <c r="C54" s="111"/>
      <c r="D54" s="111"/>
      <c r="E54" s="1747">
        <v>0.91100000000000003</v>
      </c>
      <c r="F54" s="1747"/>
      <c r="G54" s="1747">
        <v>1.667</v>
      </c>
      <c r="H54" s="1747"/>
      <c r="I54" s="1747">
        <v>2.7759999999999998</v>
      </c>
      <c r="J54" s="1747"/>
      <c r="K54" s="1747">
        <v>4.0679999999999996</v>
      </c>
      <c r="L54" s="1747"/>
      <c r="M54" s="1747">
        <v>5.1740000000000004</v>
      </c>
      <c r="N54" s="1747"/>
      <c r="O54" s="1747">
        <v>5.5309999999999997</v>
      </c>
      <c r="P54" s="1747"/>
      <c r="Q54" s="1747">
        <v>5.5510000000000002</v>
      </c>
      <c r="R54" s="1747"/>
      <c r="S54" s="1747">
        <v>4.8150000000000004</v>
      </c>
      <c r="T54" s="1747"/>
      <c r="U54" s="1747">
        <v>3.3530000000000002</v>
      </c>
      <c r="V54" s="1747"/>
      <c r="W54" s="1747">
        <v>1.8879999999999999</v>
      </c>
      <c r="X54" s="1747"/>
      <c r="Y54" s="1747">
        <v>1.0369999999999999</v>
      </c>
      <c r="Z54" s="1747"/>
      <c r="AA54" s="1747">
        <v>0.74</v>
      </c>
      <c r="AB54" s="1747"/>
      <c r="AC54" s="1749">
        <f t="shared" si="1"/>
        <v>1143.8509999999999</v>
      </c>
      <c r="AD54" s="1749"/>
      <c r="AE54" s="125"/>
    </row>
    <row r="55" spans="1:31" ht="11.45" customHeight="1">
      <c r="A55" s="123"/>
      <c r="B55" s="124" t="s">
        <v>156</v>
      </c>
      <c r="C55" s="111"/>
      <c r="D55" s="111"/>
      <c r="E55" s="1747">
        <v>0.91300000000000003</v>
      </c>
      <c r="F55" s="1747"/>
      <c r="G55" s="1747">
        <v>1.6439999999999999</v>
      </c>
      <c r="H55" s="1747"/>
      <c r="I55" s="1747">
        <v>2.5680000000000001</v>
      </c>
      <c r="J55" s="1747"/>
      <c r="K55" s="1747">
        <v>3.9079999999999999</v>
      </c>
      <c r="L55" s="1747"/>
      <c r="M55" s="1747">
        <v>4.9349999999999996</v>
      </c>
      <c r="N55" s="1747"/>
      <c r="O55" s="1747">
        <v>5.2549999999999999</v>
      </c>
      <c r="P55" s="1747"/>
      <c r="Q55" s="1747">
        <v>5.375</v>
      </c>
      <c r="R55" s="1747"/>
      <c r="S55" s="1747">
        <v>4.6879999999999997</v>
      </c>
      <c r="T55" s="1747"/>
      <c r="U55" s="1747">
        <v>3.286</v>
      </c>
      <c r="V55" s="1747"/>
      <c r="W55" s="1747">
        <v>1.9079999999999999</v>
      </c>
      <c r="X55" s="1747"/>
      <c r="Y55" s="1747">
        <v>1.0740000000000001</v>
      </c>
      <c r="Z55" s="1747"/>
      <c r="AA55" s="1747">
        <v>0.69399999999999995</v>
      </c>
      <c r="AB55" s="1747"/>
      <c r="AC55" s="1749">
        <f t="shared" si="1"/>
        <v>1105.2329999999999</v>
      </c>
      <c r="AD55" s="1749"/>
      <c r="AE55" s="125"/>
    </row>
    <row r="56" spans="1:31" ht="11.45" customHeight="1">
      <c r="A56" s="123"/>
      <c r="B56" s="124" t="s">
        <v>1</v>
      </c>
      <c r="C56" s="111"/>
      <c r="D56" s="111"/>
      <c r="E56" s="1747">
        <v>0.97899999999999998</v>
      </c>
      <c r="F56" s="1747"/>
      <c r="G56" s="1747">
        <v>1.718</v>
      </c>
      <c r="H56" s="1747"/>
      <c r="I56" s="1747">
        <v>2.738</v>
      </c>
      <c r="J56" s="1747"/>
      <c r="K56" s="1747">
        <v>3.9620000000000002</v>
      </c>
      <c r="L56" s="1747"/>
      <c r="M56" s="1747">
        <v>5.0170000000000003</v>
      </c>
      <c r="N56" s="1747"/>
      <c r="O56" s="1747">
        <v>5.2960000000000003</v>
      </c>
      <c r="P56" s="1747"/>
      <c r="Q56" s="1747">
        <v>5.4180000000000001</v>
      </c>
      <c r="R56" s="1747"/>
      <c r="S56" s="1747">
        <v>4.7050000000000001</v>
      </c>
      <c r="T56" s="1747"/>
      <c r="U56" s="1747">
        <v>3.3279999999999998</v>
      </c>
      <c r="V56" s="1747"/>
      <c r="W56" s="1747">
        <v>1.8939999999999999</v>
      </c>
      <c r="X56" s="1747"/>
      <c r="Y56" s="1747">
        <v>1.079</v>
      </c>
      <c r="Z56" s="1747"/>
      <c r="AA56" s="1747">
        <v>0.74199999999999999</v>
      </c>
      <c r="AB56" s="1747"/>
      <c r="AC56" s="1749">
        <f t="shared" si="1"/>
        <v>1124.337</v>
      </c>
      <c r="AD56" s="1749"/>
      <c r="AE56" s="125"/>
    </row>
    <row r="57" spans="1:31" ht="11.45" customHeight="1">
      <c r="A57" s="123"/>
      <c r="B57" s="124" t="s">
        <v>153</v>
      </c>
      <c r="C57" s="111"/>
      <c r="D57" s="111"/>
      <c r="E57" s="1747">
        <v>0.78500000000000003</v>
      </c>
      <c r="F57" s="1747"/>
      <c r="G57" s="1747">
        <v>1.536</v>
      </c>
      <c r="H57" s="1747"/>
      <c r="I57" s="1747">
        <v>2.5270000000000001</v>
      </c>
      <c r="J57" s="1747"/>
      <c r="K57" s="1747">
        <v>3.9689999999999999</v>
      </c>
      <c r="L57" s="1747"/>
      <c r="M57" s="1747">
        <v>5.0979999999999999</v>
      </c>
      <c r="N57" s="1747"/>
      <c r="O57" s="1747">
        <v>5.3579999999999997</v>
      </c>
      <c r="P57" s="1747"/>
      <c r="Q57" s="1747">
        <v>5.3810000000000002</v>
      </c>
      <c r="R57" s="1747"/>
      <c r="S57" s="1747">
        <v>4.6639999999999997</v>
      </c>
      <c r="T57" s="1747"/>
      <c r="U57" s="1747">
        <v>3.2149999999999999</v>
      </c>
      <c r="V57" s="1747"/>
      <c r="W57" s="1747">
        <v>1.825</v>
      </c>
      <c r="X57" s="1747"/>
      <c r="Y57" s="1747">
        <v>0.877</v>
      </c>
      <c r="Z57" s="1747"/>
      <c r="AA57" s="1747">
        <v>0.58099999999999996</v>
      </c>
      <c r="AB57" s="1747"/>
      <c r="AC57" s="1749">
        <f t="shared" si="1"/>
        <v>1092.269</v>
      </c>
      <c r="AD57" s="1749"/>
      <c r="AE57" s="125"/>
    </row>
    <row r="58" spans="1:31" ht="12.75" customHeight="1">
      <c r="A58" s="123"/>
      <c r="B58" s="131" t="s">
        <v>159</v>
      </c>
      <c r="C58" s="132"/>
      <c r="D58" s="133"/>
      <c r="E58" s="111"/>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25"/>
    </row>
    <row r="59" spans="1:31" ht="12.75" customHeight="1">
      <c r="A59" s="123"/>
      <c r="B59" s="135" t="str">
        <f>B64</f>
        <v>Stuttgart</v>
      </c>
      <c r="C59" s="115"/>
      <c r="D59" s="116"/>
      <c r="E59" s="111"/>
      <c r="F59" s="1755" t="str">
        <f>IF(AC83=0,"","Achtung: Es wurden nicht alle Monatswerte für den selbst gewählten Standort erfasst !
In diesem Fall rechnet das Programm mit den Werten für 'Stuttgart' um Fehler zu verhindern. Bitte füllen ")</f>
        <v/>
      </c>
      <c r="G59" s="1755"/>
      <c r="H59" s="1755"/>
      <c r="I59" s="1755"/>
      <c r="J59" s="1755"/>
      <c r="K59" s="1755"/>
      <c r="L59" s="1755"/>
      <c r="M59" s="1755"/>
      <c r="N59" s="1755"/>
      <c r="O59" s="1755"/>
      <c r="P59" s="1755"/>
      <c r="Q59" s="1755"/>
      <c r="R59" s="1755"/>
      <c r="S59" s="1755"/>
      <c r="T59" s="1755"/>
      <c r="U59" s="1755"/>
      <c r="V59" s="1755"/>
      <c r="W59" s="1755"/>
      <c r="X59" s="1755"/>
      <c r="Y59" s="1755"/>
      <c r="Z59" s="1755"/>
      <c r="AA59" s="1755"/>
      <c r="AB59" s="1755"/>
      <c r="AC59" s="1755"/>
      <c r="AD59" s="1755"/>
      <c r="AE59" s="125"/>
    </row>
    <row r="60" spans="1:31" ht="12.75" customHeight="1">
      <c r="A60" s="123"/>
      <c r="B60" s="136"/>
      <c r="C60" s="111"/>
      <c r="D60" s="111"/>
      <c r="E60" s="134"/>
      <c r="F60" s="1755"/>
      <c r="G60" s="1755"/>
      <c r="H60" s="1755"/>
      <c r="I60" s="1755"/>
      <c r="J60" s="1755"/>
      <c r="K60" s="1755"/>
      <c r="L60" s="1755"/>
      <c r="M60" s="1755"/>
      <c r="N60" s="1755"/>
      <c r="O60" s="1755"/>
      <c r="P60" s="1755"/>
      <c r="Q60" s="1755"/>
      <c r="R60" s="1755"/>
      <c r="S60" s="1755"/>
      <c r="T60" s="1755"/>
      <c r="U60" s="1755"/>
      <c r="V60" s="1755"/>
      <c r="W60" s="1755"/>
      <c r="X60" s="1755"/>
      <c r="Y60" s="1755"/>
      <c r="Z60" s="1755"/>
      <c r="AA60" s="1755"/>
      <c r="AB60" s="1755"/>
      <c r="AC60" s="1755"/>
      <c r="AD60" s="1755"/>
      <c r="AE60" s="125"/>
    </row>
    <row r="61" spans="1:31" ht="12.75" customHeight="1">
      <c r="A61" s="123"/>
      <c r="B61" s="136"/>
      <c r="C61" s="111"/>
      <c r="D61" s="111"/>
      <c r="E61" s="137"/>
      <c r="F61" s="1755" t="str">
        <f>IF(AC83=0,"","Sie alle Monatswerte für den selbst gewählten Standort aus, dann kann der selbst gewählte Standort aktiviert werden. Es fehlen die Werte für "&amp;E84&amp;" "&amp;G84&amp;" "&amp;I84&amp;" "&amp;K84&amp;" "&amp;M84&amp;" "&amp;O84&amp;" "&amp;Q84&amp;" "&amp;S84&amp;" "&amp;U84&amp;" "&amp;W84&amp;" "&amp;Y84&amp;" "&amp;AA84&amp;".")</f>
        <v/>
      </c>
      <c r="G61" s="1755"/>
      <c r="H61" s="1755"/>
      <c r="I61" s="1755"/>
      <c r="J61" s="1755"/>
      <c r="K61" s="1755"/>
      <c r="L61" s="1755"/>
      <c r="M61" s="1755"/>
      <c r="N61" s="1755"/>
      <c r="O61" s="1755"/>
      <c r="P61" s="1755"/>
      <c r="Q61" s="1755"/>
      <c r="R61" s="1755"/>
      <c r="S61" s="1755"/>
      <c r="T61" s="1755"/>
      <c r="U61" s="1755"/>
      <c r="V61" s="1755"/>
      <c r="W61" s="1755"/>
      <c r="X61" s="1755"/>
      <c r="Y61" s="1755"/>
      <c r="Z61" s="1755"/>
      <c r="AA61" s="1755"/>
      <c r="AB61" s="1755"/>
      <c r="AC61" s="1755"/>
      <c r="AD61" s="1755"/>
      <c r="AE61" s="125"/>
    </row>
    <row r="62" spans="1:31" ht="12.75" customHeight="1" thickBot="1">
      <c r="A62" s="138"/>
      <c r="B62" s="139"/>
      <c r="C62" s="140"/>
      <c r="D62" s="140"/>
      <c r="E62" s="141"/>
      <c r="F62" s="1756"/>
      <c r="G62" s="1756"/>
      <c r="H62" s="1756"/>
      <c r="I62" s="1756"/>
      <c r="J62" s="1756"/>
      <c r="K62" s="1756"/>
      <c r="L62" s="1756"/>
      <c r="M62" s="1756"/>
      <c r="N62" s="1756"/>
      <c r="O62" s="1756"/>
      <c r="P62" s="1756"/>
      <c r="Q62" s="1756"/>
      <c r="R62" s="1756"/>
      <c r="S62" s="1756"/>
      <c r="T62" s="1756"/>
      <c r="U62" s="1756"/>
      <c r="V62" s="1756"/>
      <c r="W62" s="1756"/>
      <c r="X62" s="1756"/>
      <c r="Y62" s="1756"/>
      <c r="Z62" s="1756"/>
      <c r="AA62" s="1756"/>
      <c r="AB62" s="1756"/>
      <c r="AC62" s="1756"/>
      <c r="AD62" s="1756"/>
      <c r="AE62" s="142"/>
    </row>
    <row r="63" spans="1:31" ht="12.75" customHeight="1">
      <c r="AE63" s="143"/>
    </row>
    <row r="64" spans="1:31" ht="12.75" hidden="1" customHeight="1">
      <c r="B64" s="146" t="str">
        <f>Kalkulation_Eigenstrom!P19</f>
        <v>Stuttgart</v>
      </c>
    </row>
    <row r="65" spans="2:28" ht="12.75" customHeight="1"/>
    <row r="66" spans="2:28" ht="12.75" customHeight="1"/>
    <row r="67" spans="2:28" ht="12.75" customHeight="1">
      <c r="B67" s="124"/>
      <c r="C67" s="111"/>
      <c r="D67" s="111"/>
      <c r="E67" s="1747"/>
      <c r="F67" s="1747"/>
      <c r="G67" s="1747"/>
      <c r="H67" s="1747"/>
      <c r="I67" s="1747"/>
      <c r="J67" s="1747"/>
      <c r="K67" s="1747"/>
      <c r="L67" s="1747"/>
      <c r="M67" s="1747"/>
      <c r="N67" s="1747"/>
      <c r="O67" s="1747"/>
      <c r="P67" s="1747"/>
      <c r="Q67" s="1747"/>
      <c r="R67" s="1747"/>
      <c r="S67" s="1747"/>
      <c r="T67" s="1747"/>
      <c r="U67" s="1747"/>
      <c r="V67" s="1747"/>
      <c r="W67" s="1747"/>
      <c r="X67" s="1747"/>
      <c r="Y67" s="1747"/>
      <c r="Z67" s="1747"/>
      <c r="AA67" s="1747"/>
      <c r="AB67" s="1747"/>
    </row>
    <row r="68" spans="2:28" ht="12.75" customHeight="1">
      <c r="B68" s="124"/>
      <c r="C68" s="111"/>
      <c r="D68" s="111"/>
      <c r="E68" s="1747"/>
      <c r="F68" s="1747"/>
      <c r="G68" s="1747"/>
      <c r="H68" s="1747"/>
      <c r="I68" s="1747"/>
      <c r="J68" s="1747"/>
      <c r="K68" s="1747"/>
      <c r="L68" s="1747"/>
      <c r="M68" s="1747"/>
      <c r="N68" s="1747"/>
      <c r="O68" s="1747"/>
      <c r="P68" s="1747"/>
      <c r="Q68" s="1747"/>
      <c r="R68" s="1747"/>
      <c r="S68" s="1747"/>
      <c r="T68" s="1747"/>
      <c r="U68" s="1747"/>
      <c r="V68" s="1747"/>
      <c r="W68" s="1747"/>
      <c r="X68" s="1747"/>
      <c r="Y68" s="1747"/>
      <c r="Z68" s="1747"/>
      <c r="AA68" s="1747"/>
      <c r="AB68" s="1747"/>
    </row>
    <row r="69" spans="2:28" ht="12.75" customHeight="1">
      <c r="B69" s="124"/>
      <c r="C69" s="111"/>
      <c r="D69" s="111"/>
      <c r="E69" s="1747"/>
      <c r="F69" s="1747"/>
      <c r="G69" s="1747"/>
      <c r="H69" s="1747"/>
      <c r="I69" s="1747"/>
      <c r="J69" s="1747"/>
      <c r="K69" s="1747"/>
      <c r="L69" s="1747"/>
      <c r="M69" s="1747"/>
      <c r="N69" s="1747"/>
      <c r="O69" s="1747"/>
      <c r="P69" s="1747"/>
      <c r="Q69" s="1747"/>
      <c r="R69" s="1747"/>
      <c r="S69" s="1747"/>
      <c r="T69" s="1747"/>
      <c r="U69" s="1747"/>
      <c r="V69" s="1747"/>
      <c r="W69" s="1747"/>
      <c r="X69" s="1747"/>
      <c r="Y69" s="1747"/>
      <c r="Z69" s="1747"/>
      <c r="AA69" s="1747"/>
      <c r="AB69" s="1747"/>
    </row>
    <row r="70" spans="2:28" ht="12.75" customHeight="1">
      <c r="B70" s="124"/>
      <c r="C70" s="111"/>
      <c r="D70" s="111"/>
      <c r="E70" s="1747"/>
      <c r="F70" s="1747"/>
      <c r="G70" s="1747"/>
      <c r="H70" s="1747"/>
      <c r="I70" s="1747"/>
      <c r="J70" s="1747"/>
      <c r="K70" s="1747"/>
      <c r="L70" s="1747"/>
      <c r="M70" s="1747"/>
      <c r="N70" s="1747"/>
      <c r="O70" s="1747"/>
      <c r="P70" s="1747"/>
      <c r="Q70" s="1747"/>
      <c r="R70" s="1747"/>
      <c r="S70" s="1747"/>
      <c r="T70" s="1747"/>
      <c r="U70" s="1747"/>
      <c r="V70" s="1747"/>
      <c r="W70" s="1747"/>
      <c r="X70" s="1747"/>
      <c r="Y70" s="1747"/>
      <c r="Z70" s="1747"/>
      <c r="AA70" s="1747"/>
      <c r="AB70" s="1747"/>
    </row>
    <row r="71" spans="2:28" ht="12.75" customHeight="1">
      <c r="B71" s="124"/>
      <c r="C71" s="111"/>
      <c r="D71" s="111"/>
      <c r="E71" s="1747"/>
      <c r="F71" s="1747"/>
      <c r="G71" s="1747"/>
      <c r="H71" s="1747"/>
      <c r="I71" s="1747"/>
      <c r="J71" s="1747"/>
      <c r="K71" s="1747"/>
      <c r="L71" s="1747"/>
      <c r="M71" s="1747"/>
      <c r="N71" s="1747"/>
      <c r="O71" s="1747"/>
      <c r="P71" s="1747"/>
      <c r="Q71" s="1747"/>
      <c r="R71" s="1747"/>
      <c r="S71" s="1747"/>
      <c r="T71" s="1747"/>
      <c r="U71" s="1747"/>
      <c r="V71" s="1747"/>
      <c r="W71" s="1747"/>
      <c r="X71" s="1747"/>
      <c r="Y71" s="1747"/>
      <c r="Z71" s="1747"/>
      <c r="AA71" s="1747"/>
      <c r="AB71" s="1747"/>
    </row>
    <row r="72" spans="2:28" ht="12.75" customHeight="1">
      <c r="B72" s="124"/>
      <c r="C72" s="111"/>
      <c r="D72" s="111"/>
      <c r="E72" s="1747"/>
      <c r="F72" s="1747"/>
      <c r="G72" s="1747"/>
      <c r="H72" s="1747"/>
      <c r="I72" s="1747"/>
      <c r="J72" s="1747"/>
      <c r="K72" s="1747"/>
      <c r="L72" s="1747"/>
      <c r="M72" s="1747"/>
      <c r="N72" s="1747"/>
      <c r="O72" s="1747"/>
      <c r="P72" s="1747"/>
      <c r="Q72" s="1747"/>
      <c r="R72" s="1747"/>
      <c r="S72" s="1747"/>
      <c r="T72" s="1747"/>
      <c r="U72" s="1747"/>
      <c r="V72" s="1747"/>
      <c r="W72" s="1747"/>
      <c r="X72" s="1747"/>
      <c r="Y72" s="1747"/>
      <c r="Z72" s="1747"/>
      <c r="AA72" s="1747"/>
      <c r="AB72" s="1747"/>
    </row>
    <row r="73" spans="2:28" ht="12.75" customHeight="1">
      <c r="B73" s="124"/>
      <c r="C73" s="111"/>
      <c r="D73" s="111"/>
      <c r="E73" s="1747"/>
      <c r="F73" s="1747"/>
      <c r="G73" s="1747"/>
      <c r="H73" s="1747"/>
      <c r="I73" s="1747"/>
      <c r="J73" s="1747"/>
      <c r="K73" s="1747"/>
      <c r="L73" s="1747"/>
      <c r="M73" s="1747"/>
      <c r="N73" s="1747"/>
      <c r="O73" s="1747"/>
      <c r="P73" s="1747"/>
      <c r="Q73" s="1747"/>
      <c r="R73" s="1747"/>
      <c r="S73" s="1747"/>
      <c r="T73" s="1747"/>
      <c r="U73" s="1747"/>
      <c r="V73" s="1747"/>
      <c r="W73" s="1747"/>
      <c r="X73" s="1747"/>
      <c r="Y73" s="1747"/>
      <c r="Z73" s="1747"/>
      <c r="AA73" s="1747"/>
      <c r="AB73" s="1747"/>
    </row>
    <row r="74" spans="2:28" ht="12.75" customHeight="1">
      <c r="B74" s="124"/>
      <c r="C74" s="111"/>
      <c r="D74" s="111"/>
      <c r="E74" s="1748"/>
      <c r="F74" s="1748"/>
      <c r="G74" s="1747"/>
      <c r="H74" s="1747"/>
      <c r="I74" s="1747"/>
      <c r="J74" s="1747"/>
      <c r="K74" s="1747"/>
      <c r="L74" s="1747"/>
      <c r="M74" s="1747"/>
      <c r="N74" s="1747"/>
      <c r="O74" s="1747"/>
      <c r="P74" s="1747"/>
      <c r="Q74" s="1747"/>
      <c r="R74" s="1747"/>
      <c r="S74" s="1747"/>
      <c r="T74" s="1747"/>
      <c r="U74" s="1747"/>
      <c r="V74" s="1747"/>
      <c r="W74" s="1747"/>
      <c r="X74" s="1747"/>
      <c r="Y74" s="1747"/>
      <c r="Z74" s="1747"/>
      <c r="AA74" s="1747"/>
      <c r="AB74" s="1747"/>
    </row>
    <row r="75" spans="2:28" ht="12.75" customHeight="1">
      <c r="B75" s="124"/>
      <c r="C75" s="111"/>
      <c r="D75" s="111"/>
      <c r="E75" s="1747"/>
      <c r="F75" s="1747"/>
      <c r="G75" s="1747"/>
      <c r="H75" s="1747"/>
      <c r="I75" s="1747"/>
      <c r="J75" s="1747"/>
      <c r="K75" s="1747"/>
      <c r="L75" s="1747"/>
      <c r="M75" s="1747"/>
      <c r="N75" s="1747"/>
      <c r="O75" s="1747"/>
      <c r="P75" s="1747"/>
      <c r="Q75" s="1747"/>
      <c r="R75" s="1747"/>
      <c r="S75" s="1747"/>
      <c r="T75" s="1747"/>
      <c r="U75" s="1747"/>
      <c r="V75" s="1747"/>
      <c r="W75" s="1747"/>
      <c r="X75" s="1747"/>
      <c r="Y75" s="1747"/>
      <c r="Z75" s="1747"/>
      <c r="AA75" s="1747"/>
      <c r="AB75" s="1747"/>
    </row>
    <row r="76" spans="2:28" ht="12.75" customHeight="1">
      <c r="B76" s="124"/>
      <c r="C76" s="111"/>
      <c r="D76" s="111"/>
      <c r="E76" s="1747"/>
      <c r="F76" s="1747"/>
      <c r="G76" s="1747"/>
      <c r="H76" s="1747"/>
      <c r="I76" s="1747"/>
      <c r="J76" s="1747"/>
      <c r="K76" s="1747"/>
      <c r="L76" s="1747"/>
      <c r="M76" s="1747"/>
      <c r="N76" s="1747"/>
      <c r="O76" s="1747"/>
      <c r="P76" s="1747"/>
      <c r="Q76" s="1747"/>
      <c r="R76" s="1747"/>
      <c r="S76" s="1747"/>
      <c r="T76" s="1747"/>
      <c r="U76" s="1747"/>
      <c r="V76" s="1747"/>
      <c r="W76" s="1747"/>
      <c r="X76" s="1747"/>
      <c r="Y76" s="1747"/>
      <c r="Z76" s="1747"/>
      <c r="AA76" s="1747"/>
      <c r="AB76" s="1747"/>
    </row>
    <row r="77" spans="2:28" ht="12.75" customHeight="1">
      <c r="B77" s="124"/>
      <c r="C77" s="111"/>
      <c r="D77" s="111"/>
      <c r="E77" s="1747"/>
      <c r="F77" s="1747"/>
      <c r="G77" s="1747"/>
      <c r="H77" s="1747"/>
      <c r="I77" s="1747"/>
      <c r="J77" s="1747"/>
      <c r="K77" s="1747"/>
      <c r="L77" s="1747"/>
      <c r="M77" s="1747"/>
      <c r="N77" s="1747"/>
      <c r="O77" s="1747"/>
      <c r="P77" s="1747"/>
      <c r="Q77" s="1747"/>
      <c r="R77" s="1747"/>
      <c r="S77" s="1747"/>
      <c r="T77" s="1747"/>
      <c r="U77" s="1747"/>
      <c r="V77" s="1747"/>
      <c r="W77" s="1747"/>
      <c r="X77" s="1747"/>
      <c r="Y77" s="1747"/>
      <c r="Z77" s="1747"/>
      <c r="AA77" s="1747"/>
      <c r="AB77" s="1747"/>
    </row>
    <row r="78" spans="2:28" ht="12.75" customHeight="1">
      <c r="B78" s="124"/>
      <c r="C78" s="111"/>
      <c r="D78" s="111"/>
      <c r="E78" s="1747"/>
      <c r="F78" s="1747"/>
      <c r="G78" s="1747"/>
      <c r="H78" s="1747"/>
      <c r="I78" s="1747"/>
      <c r="J78" s="1747"/>
      <c r="K78" s="1747"/>
      <c r="L78" s="1747"/>
      <c r="M78" s="1747"/>
      <c r="N78" s="1747"/>
      <c r="O78" s="1747"/>
      <c r="P78" s="1747"/>
      <c r="Q78" s="1747"/>
      <c r="R78" s="1747"/>
      <c r="S78" s="1747"/>
      <c r="T78" s="1747"/>
      <c r="U78" s="1747"/>
      <c r="V78" s="1747"/>
      <c r="W78" s="1747"/>
      <c r="X78" s="1747"/>
      <c r="Y78" s="1747"/>
      <c r="Z78" s="1747"/>
      <c r="AA78" s="1747"/>
      <c r="AB78" s="1747"/>
    </row>
    <row r="79" spans="2:28" ht="12.75" customHeight="1"/>
    <row r="80" spans="2:28" ht="12.75" customHeight="1"/>
    <row r="81" spans="1:31" ht="12.75" customHeight="1" thickBot="1"/>
    <row r="82" spans="1:31" ht="12.75" customHeight="1">
      <c r="A82" s="118"/>
      <c r="B82" s="144" t="s">
        <v>160</v>
      </c>
      <c r="C82" s="120"/>
      <c r="D82" s="120"/>
      <c r="E82" s="1758">
        <f>VLOOKUP($B$64,$B$46:$AB$57,COLUMNS($B46:E$57),FALSE)</f>
        <v>0.91300000000000003</v>
      </c>
      <c r="F82" s="1758"/>
      <c r="G82" s="1758">
        <f>VLOOKUP($B$64,$B$46:$AB$57,COLUMNS($B48:G$57),FALSE)</f>
        <v>1.6439999999999999</v>
      </c>
      <c r="H82" s="1758"/>
      <c r="I82" s="1758">
        <f>VLOOKUP($B$64,$B$46:$AB$57,COLUMNS($B50:I$57),FALSE)</f>
        <v>2.5680000000000001</v>
      </c>
      <c r="J82" s="1758"/>
      <c r="K82" s="1758">
        <f>VLOOKUP($B$64,$B$46:$AB$57,COLUMNS($B52:K$57),FALSE)</f>
        <v>3.9079999999999999</v>
      </c>
      <c r="L82" s="1758"/>
      <c r="M82" s="1758">
        <f>VLOOKUP($B$64,$B$46:$AB$57,COLUMNS($B54:M$57),FALSE)</f>
        <v>4.9349999999999996</v>
      </c>
      <c r="N82" s="1758"/>
      <c r="O82" s="1758">
        <f>VLOOKUP($B$64,$B$46:$AB$57,COLUMNS($B56:O$57),FALSE)</f>
        <v>5.2549999999999999</v>
      </c>
      <c r="P82" s="1758"/>
      <c r="Q82" s="1758">
        <f>VLOOKUP($B$64,$B$46:$AB$57,COLUMNS($B57:Q$57),FALSE)</f>
        <v>5.375</v>
      </c>
      <c r="R82" s="1758"/>
      <c r="S82" s="1758">
        <f>VLOOKUP($B$64,$B$46:$AB$57,COLUMNS($B57:S$57),FALSE)</f>
        <v>4.6879999999999997</v>
      </c>
      <c r="T82" s="1758"/>
      <c r="U82" s="1758">
        <f>VLOOKUP($B$64,$B$46:$AB$57,COLUMNS($B57:U$57),FALSE)</f>
        <v>3.286</v>
      </c>
      <c r="V82" s="1758"/>
      <c r="W82" s="1758">
        <f>VLOOKUP($B$64,$B$46:$AB$57,COLUMNS($B57:W$57),FALSE)</f>
        <v>1.9079999999999999</v>
      </c>
      <c r="X82" s="1758"/>
      <c r="Y82" s="1758">
        <f>VLOOKUP($B$64,$B$46:$AB$57,COLUMNS($B57:Y$57),FALSE)</f>
        <v>1.0740000000000001</v>
      </c>
      <c r="Z82" s="1758"/>
      <c r="AA82" s="1758">
        <f>VLOOKUP($B$64,$B$46:$AB$57,COLUMNS($B57:AA$57),FALSE)</f>
        <v>0.69399999999999995</v>
      </c>
      <c r="AB82" s="1758"/>
      <c r="AC82" s="1757">
        <f>E82*31+G82*28+I82*31+K82*30+M82*31+O82*30+Q82*31+S82*31+U82*30+W82*31+Y82*30+AA82*31</f>
        <v>1105.2329999999999</v>
      </c>
      <c r="AD82" s="1757"/>
      <c r="AE82" s="122"/>
    </row>
    <row r="83" spans="1:31" ht="12.75" customHeight="1" thickBot="1">
      <c r="A83" s="138"/>
      <c r="B83" s="139" t="str">
        <f>B64</f>
        <v>Stuttgart</v>
      </c>
      <c r="C83" s="140"/>
      <c r="D83" s="140"/>
      <c r="E83" s="145">
        <f>IF(E82&gt;0,0,1)</f>
        <v>0</v>
      </c>
      <c r="F83" s="145"/>
      <c r="G83" s="145">
        <f>IF(G82&gt;0,0,1)</f>
        <v>0</v>
      </c>
      <c r="H83" s="145"/>
      <c r="I83" s="145">
        <f>IF(I82&gt;0,0,1)</f>
        <v>0</v>
      </c>
      <c r="J83" s="145"/>
      <c r="K83" s="145">
        <f>IF(K82&gt;0,0,1)</f>
        <v>0</v>
      </c>
      <c r="L83" s="145"/>
      <c r="M83" s="145">
        <f>IF(M82&gt;0,0,1)</f>
        <v>0</v>
      </c>
      <c r="N83" s="145"/>
      <c r="O83" s="145">
        <f>IF(O82&gt;0,0,1)</f>
        <v>0</v>
      </c>
      <c r="P83" s="145"/>
      <c r="Q83" s="145">
        <f>IF(Q82&gt;0,0,1)</f>
        <v>0</v>
      </c>
      <c r="R83" s="145"/>
      <c r="S83" s="145">
        <f>IF(S82&gt;0,0,1)</f>
        <v>0</v>
      </c>
      <c r="T83" s="145"/>
      <c r="U83" s="145">
        <f>IF(U82&gt;0,0,1)</f>
        <v>0</v>
      </c>
      <c r="V83" s="145"/>
      <c r="W83" s="145">
        <f>IF(W82&gt;0,0,1)</f>
        <v>0</v>
      </c>
      <c r="X83" s="145"/>
      <c r="Y83" s="145">
        <f>IF(Y82&gt;0,0,1)</f>
        <v>0</v>
      </c>
      <c r="Z83" s="145"/>
      <c r="AA83" s="145">
        <f>IF(AA82&gt;0,0,1)</f>
        <v>0</v>
      </c>
      <c r="AB83" s="145"/>
      <c r="AC83" s="1754">
        <f>SUM(E83:AB83)</f>
        <v>0</v>
      </c>
      <c r="AD83" s="1754"/>
      <c r="AE83" s="142"/>
    </row>
    <row r="84" spans="1:31" ht="12.75" customHeight="1">
      <c r="E84" s="84" t="str">
        <f>IF(E83=1,"Jan,","")</f>
        <v/>
      </c>
      <c r="G84" s="84" t="str">
        <f>IF(G83=1,"Feb,","")</f>
        <v/>
      </c>
      <c r="I84" s="84" t="str">
        <f>IF(I83=1,"Mrz,","")</f>
        <v/>
      </c>
      <c r="K84" s="84" t="str">
        <f>IF(K83=1,"Apr,","")</f>
        <v/>
      </c>
      <c r="M84" s="84" t="str">
        <f>IF(M83=1,"Mai,","")</f>
        <v/>
      </c>
      <c r="O84" s="84" t="str">
        <f>IF(O83=1,"Jun,","")</f>
        <v/>
      </c>
      <c r="Q84" s="84" t="str">
        <f>IF(Q83=1,"Jul,","")</f>
        <v/>
      </c>
      <c r="S84" s="84" t="str">
        <f>IF(S83=1,"Aug,","")</f>
        <v/>
      </c>
      <c r="U84" s="84" t="str">
        <f>IF(U83=1,"Sep,","")</f>
        <v/>
      </c>
      <c r="W84" s="84" t="str">
        <f>IF(W83=1,"Okt,","")</f>
        <v/>
      </c>
      <c r="Y84" s="84" t="str">
        <f>IF(Y83=1,"Nov,","")</f>
        <v/>
      </c>
      <c r="AA84" s="84" t="str">
        <f>IF(AA83=1,"Dez,","")</f>
        <v/>
      </c>
    </row>
    <row r="85" spans="1:31" ht="12.75" customHeight="1"/>
    <row r="86" spans="1:31" ht="12.75" customHeight="1"/>
    <row r="87" spans="1:31" ht="12.75" customHeight="1"/>
    <row r="88" spans="1:31" ht="12.75" customHeight="1"/>
    <row r="89" spans="1:31" ht="12.75" customHeight="1"/>
    <row r="90" spans="1:31" ht="12.75" customHeight="1"/>
    <row r="91" spans="1:31" ht="12.75" customHeight="1"/>
    <row r="92" spans="1:31" ht="12.75" customHeight="1"/>
    <row r="93" spans="1:31" ht="12.75" customHeight="1"/>
    <row r="94" spans="1:31" ht="12.75" customHeight="1"/>
    <row r="95" spans="1:31" ht="12.75" customHeight="1"/>
    <row r="96" spans="1:31"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sheetData>
  <sheetProtection password="F30F" sheet="1"/>
  <mergeCells count="360">
    <mergeCell ref="S3:AB4"/>
    <mergeCell ref="E8:I8"/>
    <mergeCell ref="Y82:Z82"/>
    <mergeCell ref="AA82:AB82"/>
    <mergeCell ref="M82:N82"/>
    <mergeCell ref="O82:P82"/>
    <mergeCell ref="K24:L24"/>
    <mergeCell ref="K26:L26"/>
    <mergeCell ref="K28:L28"/>
    <mergeCell ref="K30:L30"/>
    <mergeCell ref="K32:L32"/>
    <mergeCell ref="K35:L35"/>
    <mergeCell ref="F30:H30"/>
    <mergeCell ref="F32:H32"/>
    <mergeCell ref="E57:F57"/>
    <mergeCell ref="G57:H57"/>
    <mergeCell ref="I57:J57"/>
    <mergeCell ref="F34:H34"/>
    <mergeCell ref="K8:M8"/>
    <mergeCell ref="F35:H35"/>
    <mergeCell ref="E44:F44"/>
    <mergeCell ref="G44:H44"/>
    <mergeCell ref="I44:J44"/>
    <mergeCell ref="K44:L44"/>
    <mergeCell ref="AC83:AD83"/>
    <mergeCell ref="F59:AD60"/>
    <mergeCell ref="F61:AD62"/>
    <mergeCell ref="AC82:AD82"/>
    <mergeCell ref="Q82:R82"/>
    <mergeCell ref="S82:T82"/>
    <mergeCell ref="U82:V82"/>
    <mergeCell ref="W82:X82"/>
    <mergeCell ref="E82:F82"/>
    <mergeCell ref="G82:H82"/>
    <mergeCell ref="I82:J82"/>
    <mergeCell ref="K82:L82"/>
    <mergeCell ref="E67:F67"/>
    <mergeCell ref="G67:H67"/>
    <mergeCell ref="I67:J67"/>
    <mergeCell ref="K67:L67"/>
    <mergeCell ref="M67:N67"/>
    <mergeCell ref="E69:F69"/>
    <mergeCell ref="G69:H69"/>
    <mergeCell ref="I69:J69"/>
    <mergeCell ref="K69:L69"/>
    <mergeCell ref="M69:N69"/>
    <mergeCell ref="O69:P69"/>
    <mergeCell ref="Q69:R69"/>
    <mergeCell ref="M44:N44"/>
    <mergeCell ref="F10:H10"/>
    <mergeCell ref="F12:H12"/>
    <mergeCell ref="F24:H24"/>
    <mergeCell ref="K22:L22"/>
    <mergeCell ref="F22:H22"/>
    <mergeCell ref="F26:H26"/>
    <mergeCell ref="F28:H28"/>
    <mergeCell ref="F14:H14"/>
    <mergeCell ref="F16:H16"/>
    <mergeCell ref="F18:H18"/>
    <mergeCell ref="F20:H20"/>
    <mergeCell ref="K10:L10"/>
    <mergeCell ref="K12:L12"/>
    <mergeCell ref="K14:L14"/>
    <mergeCell ref="K16:L16"/>
    <mergeCell ref="K18:L18"/>
    <mergeCell ref="K20:L20"/>
    <mergeCell ref="W47:X47"/>
    <mergeCell ref="AC44:AD44"/>
    <mergeCell ref="AC45:AD45"/>
    <mergeCell ref="AC46:AD46"/>
    <mergeCell ref="AA44:AB44"/>
    <mergeCell ref="W44:X44"/>
    <mergeCell ref="O44:P44"/>
    <mergeCell ref="Q44:R44"/>
    <mergeCell ref="S44:T44"/>
    <mergeCell ref="U44:V44"/>
    <mergeCell ref="O46:P46"/>
    <mergeCell ref="Y44:Z44"/>
    <mergeCell ref="AA46:AB46"/>
    <mergeCell ref="W46:X46"/>
    <mergeCell ref="Y46:Z46"/>
    <mergeCell ref="Q46:R46"/>
    <mergeCell ref="S46:T46"/>
    <mergeCell ref="U46:V46"/>
    <mergeCell ref="E46:F46"/>
    <mergeCell ref="G46:H46"/>
    <mergeCell ref="I46:J46"/>
    <mergeCell ref="K46:L46"/>
    <mergeCell ref="M46:N46"/>
    <mergeCell ref="AC47:AD47"/>
    <mergeCell ref="E48:F48"/>
    <mergeCell ref="G48:H48"/>
    <mergeCell ref="I48:J48"/>
    <mergeCell ref="K48:L48"/>
    <mergeCell ref="M48:N48"/>
    <mergeCell ref="W48:X48"/>
    <mergeCell ref="Y48:Z48"/>
    <mergeCell ref="AA48:AB48"/>
    <mergeCell ref="S48:T48"/>
    <mergeCell ref="U48:V48"/>
    <mergeCell ref="O48:P48"/>
    <mergeCell ref="Q48:R48"/>
    <mergeCell ref="AC48:AD48"/>
    <mergeCell ref="Y47:Z47"/>
    <mergeCell ref="AA47:AB47"/>
    <mergeCell ref="E47:F47"/>
    <mergeCell ref="G47:H47"/>
    <mergeCell ref="I47:J47"/>
    <mergeCell ref="K47:L47"/>
    <mergeCell ref="M47:N47"/>
    <mergeCell ref="O47:P47"/>
    <mergeCell ref="Q47:R47"/>
    <mergeCell ref="S47:T47"/>
    <mergeCell ref="AC49:AD49"/>
    <mergeCell ref="E50:F50"/>
    <mergeCell ref="G50:H50"/>
    <mergeCell ref="I50:J50"/>
    <mergeCell ref="K50:L50"/>
    <mergeCell ref="M50:N50"/>
    <mergeCell ref="O50:P50"/>
    <mergeCell ref="Q50:R50"/>
    <mergeCell ref="S50:T50"/>
    <mergeCell ref="U50:V50"/>
    <mergeCell ref="Q49:R49"/>
    <mergeCell ref="S49:T49"/>
    <mergeCell ref="U49:V49"/>
    <mergeCell ref="W49:X49"/>
    <mergeCell ref="AA49:AB49"/>
    <mergeCell ref="Y50:Z50"/>
    <mergeCell ref="AA50:AB50"/>
    <mergeCell ref="AC50:AD50"/>
    <mergeCell ref="U47:V47"/>
    <mergeCell ref="Y52:Z52"/>
    <mergeCell ref="AA52:AB52"/>
    <mergeCell ref="E49:F49"/>
    <mergeCell ref="G49:H49"/>
    <mergeCell ref="I49:J49"/>
    <mergeCell ref="K49:L49"/>
    <mergeCell ref="M49:N49"/>
    <mergeCell ref="O49:P49"/>
    <mergeCell ref="Y49:Z49"/>
    <mergeCell ref="Q51:R51"/>
    <mergeCell ref="S51:T51"/>
    <mergeCell ref="U51:V51"/>
    <mergeCell ref="W51:X51"/>
    <mergeCell ref="E51:F51"/>
    <mergeCell ref="G51:H51"/>
    <mergeCell ref="I51:J51"/>
    <mergeCell ref="K51:L51"/>
    <mergeCell ref="M51:N51"/>
    <mergeCell ref="O51:P51"/>
    <mergeCell ref="Y51:Z51"/>
    <mergeCell ref="AA51:AB51"/>
    <mergeCell ref="W50:X50"/>
    <mergeCell ref="U52:V52"/>
    <mergeCell ref="AC51:AD51"/>
    <mergeCell ref="Q53:R53"/>
    <mergeCell ref="S53:T53"/>
    <mergeCell ref="U53:V53"/>
    <mergeCell ref="W53:X53"/>
    <mergeCell ref="AC52:AD52"/>
    <mergeCell ref="E53:F53"/>
    <mergeCell ref="G53:H53"/>
    <mergeCell ref="I53:J53"/>
    <mergeCell ref="K53:L53"/>
    <mergeCell ref="M53:N53"/>
    <mergeCell ref="O53:P53"/>
    <mergeCell ref="Y53:Z53"/>
    <mergeCell ref="AA53:AB53"/>
    <mergeCell ref="W52:X52"/>
    <mergeCell ref="AC53:AD53"/>
    <mergeCell ref="E52:F52"/>
    <mergeCell ref="G52:H52"/>
    <mergeCell ref="I52:J52"/>
    <mergeCell ref="K52:L52"/>
    <mergeCell ref="M52:N52"/>
    <mergeCell ref="O52:P52"/>
    <mergeCell ref="Q52:R52"/>
    <mergeCell ref="S52:T52"/>
    <mergeCell ref="E54:F54"/>
    <mergeCell ref="G54:H54"/>
    <mergeCell ref="I54:J54"/>
    <mergeCell ref="K54:L54"/>
    <mergeCell ref="M54:N54"/>
    <mergeCell ref="O54:P54"/>
    <mergeCell ref="Q54:R54"/>
    <mergeCell ref="S54:T54"/>
    <mergeCell ref="U54:V54"/>
    <mergeCell ref="W54:X54"/>
    <mergeCell ref="Y54:Z54"/>
    <mergeCell ref="AA54:AB54"/>
    <mergeCell ref="W56:X56"/>
    <mergeCell ref="Y56:Z56"/>
    <mergeCell ref="U56:V56"/>
    <mergeCell ref="U55:V55"/>
    <mergeCell ref="AC54:AD54"/>
    <mergeCell ref="E55:F55"/>
    <mergeCell ref="G55:H55"/>
    <mergeCell ref="I55:J55"/>
    <mergeCell ref="K55:L55"/>
    <mergeCell ref="M55:N55"/>
    <mergeCell ref="O55:P55"/>
    <mergeCell ref="W55:X55"/>
    <mergeCell ref="Y55:Z55"/>
    <mergeCell ref="AA55:AB55"/>
    <mergeCell ref="AC55:AD55"/>
    <mergeCell ref="E56:F56"/>
    <mergeCell ref="G56:H56"/>
    <mergeCell ref="I56:J56"/>
    <mergeCell ref="K56:L56"/>
    <mergeCell ref="M56:N56"/>
    <mergeCell ref="AC56:AD56"/>
    <mergeCell ref="Q55:R55"/>
    <mergeCell ref="S55:T55"/>
    <mergeCell ref="O56:P56"/>
    <mergeCell ref="Q56:R56"/>
    <mergeCell ref="AA56:AB56"/>
    <mergeCell ref="S56:T56"/>
    <mergeCell ref="AC57:AD57"/>
    <mergeCell ref="U57:V57"/>
    <mergeCell ref="W57:X57"/>
    <mergeCell ref="Y57:Z57"/>
    <mergeCell ref="AA57:AB57"/>
    <mergeCell ref="K57:L57"/>
    <mergeCell ref="M57:N57"/>
    <mergeCell ref="O57:P57"/>
    <mergeCell ref="Q57:R57"/>
    <mergeCell ref="S57:T57"/>
    <mergeCell ref="AA67:AB67"/>
    <mergeCell ref="E68:F68"/>
    <mergeCell ref="G68:H68"/>
    <mergeCell ref="I68:J68"/>
    <mergeCell ref="K68:L68"/>
    <mergeCell ref="M68:N68"/>
    <mergeCell ref="O68:P68"/>
    <mergeCell ref="Q68:R68"/>
    <mergeCell ref="S68:T68"/>
    <mergeCell ref="U68:V68"/>
    <mergeCell ref="O67:P67"/>
    <mergeCell ref="Q67:R67"/>
    <mergeCell ref="S67:T67"/>
    <mergeCell ref="U67:V67"/>
    <mergeCell ref="W67:X67"/>
    <mergeCell ref="Y67:Z67"/>
    <mergeCell ref="W68:X68"/>
    <mergeCell ref="Y68:Z68"/>
    <mergeCell ref="AA68:AB68"/>
    <mergeCell ref="S69:T69"/>
    <mergeCell ref="U69:V69"/>
    <mergeCell ref="W69:X69"/>
    <mergeCell ref="Y69:Z69"/>
    <mergeCell ref="AA69:AB69"/>
    <mergeCell ref="E70:F70"/>
    <mergeCell ref="G70:H70"/>
    <mergeCell ref="I70:J70"/>
    <mergeCell ref="K70:L70"/>
    <mergeCell ref="M70:N70"/>
    <mergeCell ref="AA70:AB70"/>
    <mergeCell ref="O70:P70"/>
    <mergeCell ref="Q70:R70"/>
    <mergeCell ref="S70:T70"/>
    <mergeCell ref="U70:V70"/>
    <mergeCell ref="W70:X70"/>
    <mergeCell ref="Y70:Z70"/>
    <mergeCell ref="W71:X71"/>
    <mergeCell ref="Y71:Z71"/>
    <mergeCell ref="AA71:AB71"/>
    <mergeCell ref="E72:F72"/>
    <mergeCell ref="G72:H72"/>
    <mergeCell ref="I72:J72"/>
    <mergeCell ref="K72:L72"/>
    <mergeCell ref="M72:N72"/>
    <mergeCell ref="O72:P72"/>
    <mergeCell ref="Q72:R72"/>
    <mergeCell ref="S72:T72"/>
    <mergeCell ref="U72:V72"/>
    <mergeCell ref="W72:X72"/>
    <mergeCell ref="Y72:Z72"/>
    <mergeCell ref="AA72:AB72"/>
    <mergeCell ref="E71:F71"/>
    <mergeCell ref="G71:H71"/>
    <mergeCell ref="I71:J71"/>
    <mergeCell ref="K71:L71"/>
    <mergeCell ref="M71:N71"/>
    <mergeCell ref="O71:P71"/>
    <mergeCell ref="Q71:R71"/>
    <mergeCell ref="S71:T71"/>
    <mergeCell ref="U71:V71"/>
    <mergeCell ref="E73:F73"/>
    <mergeCell ref="G73:H73"/>
    <mergeCell ref="I73:J73"/>
    <mergeCell ref="K73:L73"/>
    <mergeCell ref="M73:N73"/>
    <mergeCell ref="AA73:AB73"/>
    <mergeCell ref="E74:F74"/>
    <mergeCell ref="G74:H74"/>
    <mergeCell ref="I74:J74"/>
    <mergeCell ref="K74:L74"/>
    <mergeCell ref="M74:N74"/>
    <mergeCell ref="O74:P74"/>
    <mergeCell ref="Q74:R74"/>
    <mergeCell ref="S74:T74"/>
    <mergeCell ref="U74:V74"/>
    <mergeCell ref="O73:P73"/>
    <mergeCell ref="Q73:R73"/>
    <mergeCell ref="S73:T73"/>
    <mergeCell ref="U73:V73"/>
    <mergeCell ref="W73:X73"/>
    <mergeCell ref="Y73:Z73"/>
    <mergeCell ref="W74:X74"/>
    <mergeCell ref="Y74:Z74"/>
    <mergeCell ref="AA74:AB74"/>
    <mergeCell ref="E75:F75"/>
    <mergeCell ref="G75:H75"/>
    <mergeCell ref="I75:J75"/>
    <mergeCell ref="K75:L75"/>
    <mergeCell ref="M75:N75"/>
    <mergeCell ref="O75:P75"/>
    <mergeCell ref="Q75:R75"/>
    <mergeCell ref="S75:T75"/>
    <mergeCell ref="U75:V75"/>
    <mergeCell ref="W75:X75"/>
    <mergeCell ref="Y75:Z75"/>
    <mergeCell ref="AA75:AB75"/>
    <mergeCell ref="E76:F76"/>
    <mergeCell ref="G76:H76"/>
    <mergeCell ref="I76:J76"/>
    <mergeCell ref="K76:L76"/>
    <mergeCell ref="M76:N76"/>
    <mergeCell ref="E78:F78"/>
    <mergeCell ref="G78:H78"/>
    <mergeCell ref="I78:J78"/>
    <mergeCell ref="K78:L78"/>
    <mergeCell ref="M78:N78"/>
    <mergeCell ref="O78:P78"/>
    <mergeCell ref="Q78:R78"/>
    <mergeCell ref="AA76:AB76"/>
    <mergeCell ref="E77:F77"/>
    <mergeCell ref="G77:H77"/>
    <mergeCell ref="I77:J77"/>
    <mergeCell ref="K77:L77"/>
    <mergeCell ref="M77:N77"/>
    <mergeCell ref="O77:P77"/>
    <mergeCell ref="Q77:R77"/>
    <mergeCell ref="S77:T77"/>
    <mergeCell ref="AA78:AB78"/>
    <mergeCell ref="W77:X77"/>
    <mergeCell ref="Y77:Z77"/>
    <mergeCell ref="AA77:AB77"/>
    <mergeCell ref="U77:V77"/>
    <mergeCell ref="O76:P76"/>
    <mergeCell ref="Q76:R76"/>
    <mergeCell ref="S76:T76"/>
    <mergeCell ref="U76:V76"/>
    <mergeCell ref="W76:X76"/>
    <mergeCell ref="Y76:Z76"/>
    <mergeCell ref="S78:T78"/>
    <mergeCell ref="U78:V78"/>
    <mergeCell ref="W78:X78"/>
    <mergeCell ref="Y78:Z78"/>
  </mergeCells>
  <phoneticPr fontId="0" type="noConversion"/>
  <pageMargins left="0.78740157480314965" right="0.19685039370078741" top="0.59055118110236227" bottom="0.98425196850393704" header="0.51181102362204722" footer="0.51181102362204722"/>
  <pageSetup paperSize="9" scale="80" orientation="portrait" verticalDpi="360" r:id="rId1"/>
  <headerFooter alignWithMargins="0">
    <oddFooter>&amp;L&amp;8LEL Schwäbisch Gmünd 
(Abt. 4; WS)&amp;C&amp;8&amp;F&amp;R&amp;8&amp;D</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35"/>
  <sheetViews>
    <sheetView zoomScale="90" zoomScaleNormal="90" workbookViewId="0"/>
  </sheetViews>
  <sheetFormatPr baseColWidth="10" defaultColWidth="11.42578125" defaultRowHeight="12.75"/>
  <cols>
    <col min="1" max="1" width="11.42578125" style="84"/>
    <col min="2" max="3" width="5.7109375" style="84" customWidth="1"/>
    <col min="4" max="4" width="20.7109375" style="84" customWidth="1"/>
    <col min="5" max="6" width="10.7109375" style="84" customWidth="1"/>
    <col min="7" max="8" width="11.42578125" style="84"/>
    <col min="9" max="9" width="8.7109375" style="84" customWidth="1"/>
    <col min="10" max="10" width="1.7109375" style="84" customWidth="1"/>
    <col min="11" max="11" width="2.7109375" style="84" customWidth="1"/>
    <col min="12" max="12" width="11.42578125" style="609"/>
    <col min="13" max="13" width="12.5703125" style="84" bestFit="1" customWidth="1"/>
    <col min="14" max="15" width="11.42578125" style="84"/>
    <col min="16" max="16" width="13.5703125" style="84" bestFit="1" customWidth="1"/>
    <col min="17" max="17" width="12" style="84" bestFit="1" customWidth="1"/>
    <col min="18" max="16384" width="11.42578125" style="84"/>
  </cols>
  <sheetData>
    <row r="1" spans="1:35" ht="5.0999999999999996" customHeight="1">
      <c r="B1" s="577"/>
      <c r="C1" s="577"/>
      <c r="D1" s="577"/>
      <c r="E1" s="577"/>
      <c r="F1" s="577"/>
      <c r="G1" s="577"/>
      <c r="H1" s="577"/>
      <c r="I1" s="577"/>
      <c r="J1" s="577"/>
      <c r="K1" s="577"/>
      <c r="L1" s="577"/>
      <c r="M1" s="577"/>
      <c r="N1" s="577"/>
      <c r="O1" s="577"/>
      <c r="P1" s="577"/>
      <c r="Q1" s="577"/>
      <c r="R1" s="577"/>
      <c r="S1" s="577"/>
      <c r="T1" s="577"/>
      <c r="U1" s="577"/>
      <c r="V1" s="577"/>
      <c r="W1" s="577"/>
      <c r="X1" s="577"/>
      <c r="Y1" s="577"/>
      <c r="Z1" s="577"/>
      <c r="AA1" s="577"/>
      <c r="AB1" s="577"/>
      <c r="AC1" s="577"/>
      <c r="AD1" s="577"/>
      <c r="AE1" s="577"/>
      <c r="AF1" s="577"/>
      <c r="AG1" s="577"/>
      <c r="AH1" s="577"/>
      <c r="AI1" s="577"/>
    </row>
    <row r="2" spans="1:35">
      <c r="A2" s="578" t="s">
        <v>168</v>
      </c>
      <c r="B2" s="577"/>
      <c r="C2" s="577"/>
      <c r="D2" s="577"/>
      <c r="E2" s="577"/>
      <c r="F2" s="577"/>
      <c r="G2" s="579" t="str">
        <f ca="1">"aus ["&amp;Kalkulation_Eigenstrom!E7&amp;"] übernommen: "</f>
        <v xml:space="preserve">aus [Kalkulation_Eigenstrom] übernommen: </v>
      </c>
      <c r="H2" s="580"/>
      <c r="I2" s="577"/>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row>
    <row r="3" spans="1:35">
      <c r="A3" s="577"/>
      <c r="B3" s="577"/>
      <c r="C3" s="577"/>
      <c r="D3" s="577"/>
      <c r="E3" s="577"/>
      <c r="F3" s="579" t="s">
        <v>493</v>
      </c>
      <c r="G3" s="1825">
        <v>44957</v>
      </c>
      <c r="H3" s="1826"/>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row>
    <row r="4" spans="1:35">
      <c r="A4" s="577"/>
      <c r="B4" s="374" t="s">
        <v>290</v>
      </c>
      <c r="C4" s="375"/>
      <c r="D4" s="375"/>
      <c r="E4" s="375"/>
      <c r="F4" s="378">
        <v>0</v>
      </c>
      <c r="G4" s="1800">
        <f>IF(G6&lt;=0,1,0)</f>
        <v>1</v>
      </c>
      <c r="H4" s="1801"/>
      <c r="I4" s="577"/>
      <c r="J4" s="577"/>
      <c r="K4" s="577"/>
      <c r="L4" s="577"/>
      <c r="M4" s="577"/>
      <c r="N4" s="577"/>
      <c r="O4" s="577"/>
      <c r="P4" s="577"/>
      <c r="Q4" s="577"/>
      <c r="R4" s="577"/>
      <c r="S4" s="577"/>
      <c r="T4" s="577"/>
      <c r="U4" s="577"/>
      <c r="V4" s="198"/>
      <c r="W4" s="198"/>
      <c r="X4" s="199"/>
      <c r="Y4" s="221"/>
      <c r="Z4" s="581"/>
      <c r="AA4" s="222" t="s">
        <v>223</v>
      </c>
      <c r="AB4" s="218">
        <f>G14</f>
        <v>0</v>
      </c>
      <c r="AC4" s="203"/>
      <c r="AD4" s="203"/>
      <c r="AE4" s="203"/>
      <c r="AF4" s="204"/>
      <c r="AG4" s="205"/>
      <c r="AH4" s="206"/>
      <c r="AI4" s="149"/>
    </row>
    <row r="5" spans="1:35">
      <c r="A5" s="577"/>
      <c r="B5" s="374" t="s">
        <v>289</v>
      </c>
      <c r="C5" s="375"/>
      <c r="D5" s="375"/>
      <c r="E5" s="375"/>
      <c r="F5" s="373">
        <v>500</v>
      </c>
      <c r="G5" s="1800">
        <f>IF(OR(G6&lt;=0,G42&lt;F5),1,0)</f>
        <v>1</v>
      </c>
      <c r="H5" s="1801"/>
      <c r="I5" s="577"/>
      <c r="J5" s="577"/>
      <c r="K5" s="577"/>
      <c r="L5" s="577"/>
      <c r="M5" s="577"/>
      <c r="N5" s="577"/>
      <c r="O5" s="577"/>
      <c r="P5" s="577"/>
      <c r="Q5" s="577"/>
      <c r="R5" s="577"/>
      <c r="S5" s="577"/>
      <c r="T5" s="577"/>
      <c r="U5" s="577"/>
      <c r="V5" s="198"/>
      <c r="W5" s="198"/>
      <c r="X5" s="199"/>
      <c r="Y5" s="221"/>
      <c r="Z5" s="581"/>
      <c r="AA5" s="222" t="str">
        <f>B13</f>
        <v/>
      </c>
      <c r="AB5" s="226">
        <f>G13</f>
        <v>4</v>
      </c>
      <c r="AC5" s="207"/>
      <c r="AD5" s="207"/>
      <c r="AE5" s="207"/>
      <c r="AF5" s="204"/>
      <c r="AG5" s="582" t="str">
        <f>"bis "&amp;Z7*100&amp;"%"</f>
        <v>bis 30%</v>
      </c>
      <c r="AH5" s="582" t="str">
        <f>"über "&amp;AA7*100&amp;"%"</f>
        <v>über 30%</v>
      </c>
    </row>
    <row r="6" spans="1:35">
      <c r="A6" s="583" t="s">
        <v>173</v>
      </c>
      <c r="B6" s="165" t="s">
        <v>106</v>
      </c>
      <c r="C6" s="166"/>
      <c r="D6" s="166"/>
      <c r="E6" s="166"/>
      <c r="F6" s="167"/>
      <c r="G6" s="1808">
        <f>IF(Kalkulation_Eigenstrom!G117=0,Kalkulation_Eigenstrom!P13,0)</f>
        <v>0</v>
      </c>
      <c r="H6" s="1809"/>
      <c r="I6" s="577"/>
      <c r="J6" s="577"/>
      <c r="K6" s="1820" t="s">
        <v>274</v>
      </c>
      <c r="L6" s="217" t="s">
        <v>213</v>
      </c>
      <c r="M6" s="175"/>
      <c r="N6" s="175"/>
      <c r="O6" s="187" t="s">
        <v>119</v>
      </c>
      <c r="P6" s="188" t="s">
        <v>215</v>
      </c>
      <c r="Q6" s="212" t="s">
        <v>5</v>
      </c>
      <c r="R6" s="208" t="s">
        <v>225</v>
      </c>
      <c r="S6" s="194" t="s">
        <v>123</v>
      </c>
      <c r="T6" s="194" t="s">
        <v>123</v>
      </c>
      <c r="U6" s="194" t="s">
        <v>204</v>
      </c>
      <c r="V6" s="217" t="s">
        <v>222</v>
      </c>
      <c r="W6" s="175"/>
      <c r="X6" s="175"/>
      <c r="Y6" s="188" t="s">
        <v>205</v>
      </c>
      <c r="Z6" s="188" t="s">
        <v>205</v>
      </c>
      <c r="AA6" s="188" t="s">
        <v>205</v>
      </c>
      <c r="AB6" s="212" t="s">
        <v>224</v>
      </c>
      <c r="AC6" s="193" t="s">
        <v>226</v>
      </c>
      <c r="AD6" s="193" t="s">
        <v>226</v>
      </c>
      <c r="AE6" s="193" t="s">
        <v>5</v>
      </c>
      <c r="AF6" s="193" t="s">
        <v>5</v>
      </c>
      <c r="AG6" s="224" t="s">
        <v>123</v>
      </c>
      <c r="AH6" s="224" t="s">
        <v>123</v>
      </c>
      <c r="AI6" s="194" t="s">
        <v>204</v>
      </c>
    </row>
    <row r="7" spans="1:35">
      <c r="A7" s="583" t="s">
        <v>173</v>
      </c>
      <c r="B7" s="168" t="s">
        <v>169</v>
      </c>
      <c r="C7" s="170"/>
      <c r="D7" s="170"/>
      <c r="E7" s="166"/>
      <c r="F7" s="169">
        <f>IF(G6&lt;=ZRB!L9,0,IF(AND(G6&lt;=ZRB!L10,G6&gt;ZRB!L9),ZRB!L9,IF(AND(G6&lt;=ZRB!L11,G6&gt;ZRB!L10),ZRB!L10,IF(ZRB!N12&gt;0,ZRB!L11,0))))</f>
        <v>0</v>
      </c>
      <c r="G7" s="1827">
        <f>F7</f>
        <v>0</v>
      </c>
      <c r="H7" s="1828"/>
      <c r="I7" s="577"/>
      <c r="J7" s="577"/>
      <c r="K7" s="1821"/>
      <c r="L7" s="175"/>
      <c r="M7" s="175"/>
      <c r="N7" s="176"/>
      <c r="O7" s="187" t="s">
        <v>204</v>
      </c>
      <c r="P7" s="189" t="s">
        <v>214</v>
      </c>
      <c r="Q7" s="584" t="str">
        <f>"0-"&amp;G91&amp;"Jahre"</f>
        <v>0-20Jahre</v>
      </c>
      <c r="R7" s="585" t="str">
        <f>""&amp;G91+1&amp;"-"&amp;G90&amp;" Jahre"</f>
        <v>21-20 Jahre</v>
      </c>
      <c r="S7" s="586">
        <f>G92</f>
        <v>1</v>
      </c>
      <c r="T7" s="586">
        <f>G93</f>
        <v>0</v>
      </c>
      <c r="U7" s="587" t="str">
        <f>"0-"&amp;G90&amp;" Jahre"</f>
        <v>0-20 Jahre</v>
      </c>
      <c r="V7" s="175"/>
      <c r="W7" s="175"/>
      <c r="X7" s="176"/>
      <c r="Y7" s="191" t="s">
        <v>204</v>
      </c>
      <c r="Z7" s="219">
        <v>0.3</v>
      </c>
      <c r="AA7" s="220">
        <f>Z7</f>
        <v>0.3</v>
      </c>
      <c r="AB7" s="584" t="str">
        <f>"0-"&amp;G91&amp;"Jahre"</f>
        <v>0-20Jahre</v>
      </c>
      <c r="AC7" s="588" t="str">
        <f>"bis "&amp;Z7*100&amp;"%"</f>
        <v>bis 30%</v>
      </c>
      <c r="AD7" s="588" t="str">
        <f>"über "&amp;AA7*100&amp;"%"</f>
        <v>über 30%</v>
      </c>
      <c r="AE7" s="588" t="str">
        <f>"bis "&amp;Z7*100&amp;"%"</f>
        <v>bis 30%</v>
      </c>
      <c r="AF7" s="588" t="str">
        <f>"über "&amp;AA7*100&amp;"%"</f>
        <v>über 30%</v>
      </c>
      <c r="AG7" s="1780">
        <f>G92</f>
        <v>1</v>
      </c>
      <c r="AH7" s="1781"/>
      <c r="AI7" s="588" t="str">
        <f>"0-"&amp;G90&amp;" Jahre"</f>
        <v>0-20 Jahre</v>
      </c>
    </row>
    <row r="8" spans="1:35">
      <c r="A8" s="583" t="s">
        <v>173</v>
      </c>
      <c r="B8" s="168"/>
      <c r="C8" s="170"/>
      <c r="D8" s="170"/>
      <c r="E8" s="166"/>
      <c r="F8" s="167">
        <f>IF(G6&lt;=ZRB!L9,ZRB!L9,IF(AND(G6&lt;=ZRB!L10,G6&gt;ZRB!L9),ZRB!L10,IF(AND(G6&lt;=ZRB!L11,G6&gt;ZRB!L10),ZRB!L11,IF(ZRB!N12&gt;0,ZRB!L12,0))))</f>
        <v>10</v>
      </c>
      <c r="G8" s="1812" t="str">
        <f>IF(ZRB!N12&gt;0,"über "&amp;F8&amp;" kWp","bis "&amp;F8&amp;" kWp")</f>
        <v>bis 10 kWp</v>
      </c>
      <c r="H8" s="1813"/>
      <c r="I8" s="577"/>
      <c r="J8" s="577"/>
      <c r="K8" s="1821"/>
      <c r="L8" s="175" t="str">
        <f>G10</f>
        <v>Dachanlage</v>
      </c>
      <c r="M8" s="175"/>
      <c r="N8" s="176" t="s">
        <v>104</v>
      </c>
      <c r="O8" s="187" t="s">
        <v>120</v>
      </c>
      <c r="P8" s="187" t="s">
        <v>120</v>
      </c>
      <c r="Q8" s="213" t="s">
        <v>122</v>
      </c>
      <c r="R8" s="209" t="s">
        <v>122</v>
      </c>
      <c r="S8" s="183" t="s">
        <v>124</v>
      </c>
      <c r="T8" s="183" t="s">
        <v>124</v>
      </c>
      <c r="U8" s="183" t="s">
        <v>124</v>
      </c>
      <c r="V8" s="223"/>
      <c r="W8" s="175"/>
      <c r="X8" s="176" t="str">
        <f>N8</f>
        <v>Anteile</v>
      </c>
      <c r="Y8" s="192" t="s">
        <v>120</v>
      </c>
      <c r="Z8" s="192" t="s">
        <v>120</v>
      </c>
      <c r="AA8" s="192" t="s">
        <v>120</v>
      </c>
      <c r="AB8" s="213" t="s">
        <v>122</v>
      </c>
      <c r="AC8" s="213" t="s">
        <v>122</v>
      </c>
      <c r="AD8" s="213" t="s">
        <v>122</v>
      </c>
      <c r="AE8" s="213" t="s">
        <v>122</v>
      </c>
      <c r="AF8" s="213" t="s">
        <v>122</v>
      </c>
      <c r="AG8" s="183" t="s">
        <v>124</v>
      </c>
      <c r="AH8" s="183" t="s">
        <v>124</v>
      </c>
      <c r="AI8" s="183" t="s">
        <v>124</v>
      </c>
    </row>
    <row r="9" spans="1:35">
      <c r="A9" s="583" t="s">
        <v>173</v>
      </c>
      <c r="B9" s="168" t="s">
        <v>121</v>
      </c>
      <c r="C9" s="170"/>
      <c r="D9" s="170"/>
      <c r="E9" s="166"/>
      <c r="F9" s="149"/>
      <c r="G9" s="1818">
        <f>IF(VLOOKUP(F12,Vergütungen_Stammdaten!$B$6:$AG$188,17,FALSE)&gt;0,VLOOKUP(F12,Vergütungen_Stammdaten!$B$6:$AG$188,17,FALSE),0)</f>
        <v>100</v>
      </c>
      <c r="H9" s="1819"/>
      <c r="I9" s="577"/>
      <c r="J9" s="577"/>
      <c r="K9" s="1821"/>
      <c r="L9" s="1782">
        <f>VLOOKUP(ZRB!$F$12,Vergütungen_Stammdaten!$B$6:$AG$188,7,FALSE)</f>
        <v>10</v>
      </c>
      <c r="M9" s="1782"/>
      <c r="N9" s="180">
        <f>IF(ZRB!G6&lt;=L9,1,L9/ZRB!G6)</f>
        <v>1</v>
      </c>
      <c r="O9" s="190">
        <f>ZRB!$G$23*N9</f>
        <v>0</v>
      </c>
      <c r="P9" s="190">
        <f>$P$13*N9</f>
        <v>0</v>
      </c>
      <c r="Q9" s="214">
        <f>IF($F$10=1,VLOOKUP(ZRB!$F$12,Vergütungen_Stammdaten!$B$6:$AG$188,8,FALSE),IF(F10=2,VLOOKUP(ZRB!$F$12,Vergütungen_Stammdaten!$B$6:$AG$188,16,FALSE),0))</f>
        <v>6.4299999999999996E-2</v>
      </c>
      <c r="R9" s="210">
        <f>$G$94</f>
        <v>0.05</v>
      </c>
      <c r="S9" s="182">
        <f>P9*Q9*$S$7</f>
        <v>0</v>
      </c>
      <c r="T9" s="182">
        <f>P9*R9*$T$7</f>
        <v>0</v>
      </c>
      <c r="U9" s="182">
        <f>S9+T9</f>
        <v>0</v>
      </c>
      <c r="V9" s="228" t="s">
        <v>238</v>
      </c>
      <c r="W9" s="229">
        <f>L9</f>
        <v>10</v>
      </c>
      <c r="X9" s="180">
        <f>N9</f>
        <v>1</v>
      </c>
      <c r="Y9" s="190">
        <f>$Y$12*N9</f>
        <v>0</v>
      </c>
      <c r="Z9" s="190">
        <f>IF(O9=0,0,IF((Y9/O9)&gt;$Z$7,O9*$Z$7,Y9))</f>
        <v>0</v>
      </c>
      <c r="AA9" s="190">
        <f>IF(O9=0,0,IF((Y9/O9)&gt;$Z$7,Y9-(O9*$Z$7),0))</f>
        <v>0</v>
      </c>
      <c r="AB9" s="214">
        <f>IF($F$10=2,0,VLOOKUP(ZRB!$F$12,Vergütungen_Stammdaten!$B$6:$AG$188,8,FALSE))</f>
        <v>6.4299999999999996E-2</v>
      </c>
      <c r="AC9" s="181">
        <f>IF($F$10=2,0,VLOOKUP(ZRB!$F$12,Vergütungen_Stammdaten!$B$6:$AG$188,22,FALSE))</f>
        <v>0</v>
      </c>
      <c r="AD9" s="181">
        <f>IF($F$10=2,0,VLOOKUP(ZRB!$F$12,Vergütungen_Stammdaten!$B$6:$AG$188,24,FALSE))</f>
        <v>0</v>
      </c>
      <c r="AE9" s="181">
        <f>IF($G$6&gt;$AB$4,0,IF($AB$5=3,0,AB9-AC9))</f>
        <v>6.4299999999999996E-2</v>
      </c>
      <c r="AF9" s="181">
        <f>IF($G$6&gt;$AB$4,0,IF($AB$5=3,0,AB9-AD9))</f>
        <v>6.4299999999999996E-2</v>
      </c>
      <c r="AG9" s="182">
        <f t="shared" ref="AG9:AH11" si="0">Z9*AE9*$AG$7</f>
        <v>0</v>
      </c>
      <c r="AH9" s="182">
        <f t="shared" si="0"/>
        <v>0</v>
      </c>
      <c r="AI9" s="182">
        <f>AG9+AH9</f>
        <v>0</v>
      </c>
    </row>
    <row r="10" spans="1:35">
      <c r="A10" s="583" t="s">
        <v>173</v>
      </c>
      <c r="B10" s="165" t="s">
        <v>110</v>
      </c>
      <c r="C10" s="166"/>
      <c r="D10" s="166"/>
      <c r="E10" s="166"/>
      <c r="F10" s="589">
        <f>Kalkulation_Eigenstrom!E19</f>
        <v>1</v>
      </c>
      <c r="G10" s="1812" t="str">
        <f>VLOOKUP($F$10,Kalkulation_Eigenstrom!$G$120:$J$121,2,FALSE)</f>
        <v>Dachanlage</v>
      </c>
      <c r="H10" s="1813"/>
      <c r="I10" s="577"/>
      <c r="J10" s="577"/>
      <c r="K10" s="1821"/>
      <c r="L10" s="1782">
        <f>VLOOKUP(ZRB!$F$12,Vergütungen_Stammdaten!$B$6:$AG$188,9,FALSE)</f>
        <v>40</v>
      </c>
      <c r="M10" s="1782"/>
      <c r="N10" s="180">
        <f>IF(ZRB!G6&lt;=L9,0,IF(AND(ZRB!G6&gt;L9,ZRB!G6&lt;=L10),(ZRB!G6-L9)/ZRB!G6,(L10-L9)/ZRB!G6))</f>
        <v>0</v>
      </c>
      <c r="O10" s="190">
        <f>ZRB!$G$23*N10</f>
        <v>0</v>
      </c>
      <c r="P10" s="190">
        <f>$P$13*N10</f>
        <v>0</v>
      </c>
      <c r="Q10" s="214">
        <f>IF($F$10=1,VLOOKUP(ZRB!$F$12,Vergütungen_Stammdaten!$B$6:$AG$188,10,FALSE),IF(F10=2,VLOOKUP(ZRB!$F$12,Vergütungen_Stammdaten!$B$6:$AG$188,16,FALSE),0))</f>
        <v>6.25E-2</v>
      </c>
      <c r="R10" s="210">
        <f>$G$94</f>
        <v>0.05</v>
      </c>
      <c r="S10" s="182">
        <f>P10*Q10*$S$7</f>
        <v>0</v>
      </c>
      <c r="T10" s="182">
        <f>P10*R10*$T$7</f>
        <v>0</v>
      </c>
      <c r="U10" s="182">
        <f>S10+T10</f>
        <v>0</v>
      </c>
      <c r="V10" s="228" t="s">
        <v>238</v>
      </c>
      <c r="W10" s="229">
        <f>L10</f>
        <v>40</v>
      </c>
      <c r="X10" s="180">
        <f>N10</f>
        <v>0</v>
      </c>
      <c r="Y10" s="190">
        <f>$Y$12*N10</f>
        <v>0</v>
      </c>
      <c r="Z10" s="190">
        <f>IF(O10=0,0,IF((Y10/O10)&gt;$Z$7,O10*$Z$7,Y10))</f>
        <v>0</v>
      </c>
      <c r="AA10" s="190">
        <f>IF(O10=0,0,IF((Y10/O10)&gt;$Z$7,Y10-(O10*$Z$7),0))</f>
        <v>0</v>
      </c>
      <c r="AB10" s="214">
        <f>IF($F$10=2,0,VLOOKUP(ZRB!$F$12,Vergütungen_Stammdaten!$B$6:$AG$188,10,FALSE))</f>
        <v>6.25E-2</v>
      </c>
      <c r="AC10" s="181">
        <f>AC9</f>
        <v>0</v>
      </c>
      <c r="AD10" s="181">
        <f>AD9</f>
        <v>0</v>
      </c>
      <c r="AE10" s="181">
        <f>IF($G$6&gt;$AB$4,0,IF($AB$5=3,0,AB10-AC10))</f>
        <v>6.25E-2</v>
      </c>
      <c r="AF10" s="181">
        <f>IF($G$6&gt;$AB$4,0,IF($AB$5=3,0,AB10-AD10))</f>
        <v>6.25E-2</v>
      </c>
      <c r="AG10" s="182">
        <f t="shared" si="0"/>
        <v>0</v>
      </c>
      <c r="AH10" s="182">
        <f t="shared" si="0"/>
        <v>0</v>
      </c>
      <c r="AI10" s="182">
        <f>AG10+AH10</f>
        <v>0</v>
      </c>
    </row>
    <row r="11" spans="1:35">
      <c r="A11" s="583" t="s">
        <v>173</v>
      </c>
      <c r="B11" s="165" t="s">
        <v>0</v>
      </c>
      <c r="C11" s="166"/>
      <c r="D11" s="166"/>
      <c r="E11" s="166"/>
      <c r="F11" s="589">
        <f>Kalkulation_Eigenstrom!E21</f>
        <v>10</v>
      </c>
      <c r="G11" s="1812" t="str">
        <f>VLOOKUP($F$11,Kalkulation_Eigenstrom!$G$128:$J$139,2,FALSE)</f>
        <v>Stuttgart</v>
      </c>
      <c r="H11" s="1813"/>
      <c r="I11" s="577"/>
      <c r="J11" s="577"/>
      <c r="K11" s="1821"/>
      <c r="L11" s="1782">
        <f>VLOOKUP(ZRB!$F$12,Vergütungen_Stammdaten!$B$6:$AG$188,11,FALSE)</f>
        <v>1000</v>
      </c>
      <c r="M11" s="1782"/>
      <c r="N11" s="180">
        <f>IF(ZRB!G6&lt;=L10,0,IF(AND(ZRB!G6&gt;L10,ZRB!G6&lt;=L11),(ZRB!G6-L10)/ZRB!G6,(L11-L10)/ZRB!G6))</f>
        <v>0</v>
      </c>
      <c r="O11" s="190">
        <f>ZRB!$G$23*N11</f>
        <v>0</v>
      </c>
      <c r="P11" s="190">
        <f>$P$13*N11</f>
        <v>0</v>
      </c>
      <c r="Q11" s="214">
        <f>IF($F$10=1,VLOOKUP(ZRB!$F$12,Vergütungen_Stammdaten!$B$6:$AG$188,12,FALSE),IF(F10=2,VLOOKUP(ZRB!$F$12,Vergütungen_Stammdaten!$B$6:$AG$188,16,FALSE),0))</f>
        <v>4.8800000000000003E-2</v>
      </c>
      <c r="R11" s="210">
        <f>$G$94</f>
        <v>0.05</v>
      </c>
      <c r="S11" s="182">
        <f>P11*Q11*$S$7</f>
        <v>0</v>
      </c>
      <c r="T11" s="182">
        <f>P11*R11*$T$7</f>
        <v>0</v>
      </c>
      <c r="U11" s="182">
        <f>S11+T11</f>
        <v>0</v>
      </c>
      <c r="V11" s="228" t="s">
        <v>238</v>
      </c>
      <c r="W11" s="230">
        <v>500</v>
      </c>
      <c r="X11" s="180">
        <f>N11</f>
        <v>0</v>
      </c>
      <c r="Y11" s="190">
        <f>$Y$12*N11</f>
        <v>0</v>
      </c>
      <c r="Z11" s="190">
        <f>IF(O11=0,0,IF((Y11/O11)&gt;$Z$7,O11*$Z$7,Y11))</f>
        <v>0</v>
      </c>
      <c r="AA11" s="190">
        <f>IF(O11=0,0,IF((Y11/O11)&gt;$Z$7,Y11-(O11*$Z$7),0))</f>
        <v>0</v>
      </c>
      <c r="AB11" s="214">
        <f>IF($F$10=2,0,VLOOKUP(ZRB!$F$12,Vergütungen_Stammdaten!$B$6:$AG$188,12,FALSE))</f>
        <v>4.8800000000000003E-2</v>
      </c>
      <c r="AC11" s="181">
        <f>AC9</f>
        <v>0</v>
      </c>
      <c r="AD11" s="181">
        <f>AD9</f>
        <v>0</v>
      </c>
      <c r="AE11" s="181">
        <f>IF($G$6&gt;$AB$4,0,IF($AB$5=3,0,AB11-AC11))</f>
        <v>4.8800000000000003E-2</v>
      </c>
      <c r="AF11" s="181">
        <f>IF($G$6&gt;$AB$4,0,IF($AB$5=3,0,AB11-AD11))</f>
        <v>4.8800000000000003E-2</v>
      </c>
      <c r="AG11" s="182">
        <f t="shared" si="0"/>
        <v>0</v>
      </c>
      <c r="AH11" s="182">
        <f t="shared" si="0"/>
        <v>0</v>
      </c>
      <c r="AI11" s="182">
        <f>AG11+AH11</f>
        <v>0</v>
      </c>
    </row>
    <row r="12" spans="1:35" ht="12.75" customHeight="1">
      <c r="A12" s="583" t="s">
        <v>173</v>
      </c>
      <c r="B12" s="168" t="s">
        <v>109</v>
      </c>
      <c r="C12" s="170"/>
      <c r="D12" s="170"/>
      <c r="E12" s="166"/>
      <c r="F12" s="589">
        <f>Kalkulation_Eigenstrom!E23</f>
        <v>161</v>
      </c>
      <c r="G12" s="1812" t="str">
        <f>VLOOKUP($F$12,Vergütungen_Stammdaten!$B$6:$AG$188,3,FALSE)</f>
        <v>Mai  2022</v>
      </c>
      <c r="H12" s="1813"/>
      <c r="I12" s="577"/>
      <c r="J12" s="577"/>
      <c r="K12" s="1821"/>
      <c r="L12" s="1783">
        <f>VLOOKUP(ZRB!$F$12,Vergütungen_Stammdaten!$B$6:$AG$188,13,FALSE)</f>
        <v>1000</v>
      </c>
      <c r="M12" s="1783"/>
      <c r="N12" s="180">
        <f>IF(L12=0,0,IF(ZRB!G6&lt;=L12,0,IF(ZRB!G6&gt;L12,(ZRB!G6-L12)/ZRB!G6)))</f>
        <v>0</v>
      </c>
      <c r="O12" s="190">
        <f>ZRB!$G$23*N12</f>
        <v>0</v>
      </c>
      <c r="P12" s="190">
        <f>$P$13*N12</f>
        <v>0</v>
      </c>
      <c r="Q12" s="214">
        <f>IF($F$10=1,VLOOKUP(ZRB!$F$12,Vergütungen_Stammdaten!$B$6:$AG$188,14,FALSE),IF(F10=2,VLOOKUP(ZRB!$F$12,Vergütungen_Stammdaten!$B$6:$AG$188,16,FALSE),0))</f>
        <v>4.3999999999999997E-2</v>
      </c>
      <c r="R12" s="210">
        <f>$G$94</f>
        <v>0.05</v>
      </c>
      <c r="S12" s="182">
        <f>P12*Q12*$S$7</f>
        <v>0</v>
      </c>
      <c r="T12" s="182">
        <f>P12*R12*$T$7</f>
        <v>0</v>
      </c>
      <c r="U12" s="182">
        <f>S12+T12</f>
        <v>0</v>
      </c>
      <c r="V12" s="630"/>
      <c r="W12" s="631" t="str">
        <f>M13</f>
        <v xml:space="preserve"> gesamt</v>
      </c>
      <c r="X12" s="632">
        <f>N13</f>
        <v>1</v>
      </c>
      <c r="Y12" s="633">
        <f>G31</f>
        <v>0</v>
      </c>
      <c r="Z12" s="633">
        <f>SUM(Z9:Z11)</f>
        <v>0</v>
      </c>
      <c r="AA12" s="633">
        <f>SUM(AA9:AA11)</f>
        <v>0</v>
      </c>
      <c r="AB12" s="628"/>
      <c r="AC12" s="629"/>
      <c r="AD12" s="629"/>
      <c r="AE12" s="629"/>
      <c r="AF12" s="629"/>
      <c r="AG12" s="629">
        <f>SUM(AG9:AG11)</f>
        <v>0</v>
      </c>
      <c r="AH12" s="629">
        <f>SUM(AH9:AH11)</f>
        <v>0</v>
      </c>
      <c r="AI12" s="629">
        <f>SUM(AI9:AI11)</f>
        <v>0</v>
      </c>
    </row>
    <row r="13" spans="1:35" ht="12.75" customHeight="1">
      <c r="A13" s="583" t="s">
        <v>173</v>
      </c>
      <c r="B13" s="168" t="str">
        <f>IF(G13=3,"Anlage nach 04/2012",IF(G13=2,"Anlage zw. 07/2010 bis 03/2012",IF(G13=1,"Anlage vor 06/2010","")))</f>
        <v/>
      </c>
      <c r="C13" s="170"/>
      <c r="D13" s="170"/>
      <c r="E13" s="166"/>
      <c r="F13" s="149"/>
      <c r="G13" s="1771">
        <f>VLOOKUP($F$12,Vergütungen_Stammdaten!$B$6:$AG$188,2,FALSE)</f>
        <v>4</v>
      </c>
      <c r="H13" s="1772"/>
      <c r="I13" s="577"/>
      <c r="J13" s="577"/>
      <c r="K13" s="1821"/>
      <c r="L13" s="184"/>
      <c r="M13" s="185" t="s">
        <v>216</v>
      </c>
      <c r="N13" s="186">
        <f>SUM(N9:N12)</f>
        <v>1</v>
      </c>
      <c r="O13" s="195">
        <f>$G$23</f>
        <v>0</v>
      </c>
      <c r="P13" s="195">
        <f>G32</f>
        <v>0</v>
      </c>
      <c r="Q13" s="215"/>
      <c r="R13" s="211"/>
      <c r="S13" s="196">
        <f>SUM(S9:S12)</f>
        <v>0</v>
      </c>
      <c r="T13" s="196">
        <f>SUM(T9:T12)</f>
        <v>0</v>
      </c>
      <c r="U13" s="196">
        <f>SUM(U9:U12)</f>
        <v>0</v>
      </c>
      <c r="V13" s="177"/>
      <c r="W13" s="178"/>
      <c r="X13" s="179"/>
      <c r="Y13" s="179">
        <f>G31</f>
        <v>0</v>
      </c>
      <c r="Z13" s="1784">
        <f>Z12+AA12</f>
        <v>0</v>
      </c>
      <c r="AA13" s="1785"/>
      <c r="AB13" s="197"/>
      <c r="AC13" s="197"/>
      <c r="AD13" s="177"/>
      <c r="AE13" s="177"/>
      <c r="AF13" s="177"/>
      <c r="AG13" s="1784">
        <f>AG12+AH12</f>
        <v>0</v>
      </c>
      <c r="AH13" s="1785"/>
      <c r="AI13" s="197"/>
    </row>
    <row r="14" spans="1:35" ht="12.75" customHeight="1">
      <c r="A14" s="583" t="s">
        <v>173</v>
      </c>
      <c r="B14" s="165" t="s">
        <v>114</v>
      </c>
      <c r="C14" s="166"/>
      <c r="D14" s="166"/>
      <c r="E14" s="166"/>
      <c r="F14" s="166"/>
      <c r="G14" s="1818">
        <f>VLOOKUP($F$12,Vergütungen_Stammdaten!$B$6:$AG$188,26,FALSE)</f>
        <v>0</v>
      </c>
      <c r="H14" s="1819"/>
      <c r="I14" s="577"/>
      <c r="J14" s="577"/>
      <c r="K14" s="1822"/>
      <c r="L14" s="177"/>
      <c r="M14" s="178" t="s">
        <v>206</v>
      </c>
      <c r="N14" s="590"/>
      <c r="O14" s="179">
        <f>SUM(O9:O12)</f>
        <v>0</v>
      </c>
      <c r="P14" s="179">
        <f>SUM(P9:P12)</f>
        <v>0</v>
      </c>
      <c r="Q14" s="197"/>
      <c r="R14" s="197"/>
      <c r="S14" s="1784">
        <f>S13+T13</f>
        <v>0</v>
      </c>
      <c r="T14" s="1785"/>
      <c r="U14" s="225"/>
      <c r="V14" s="591"/>
      <c r="W14" s="577"/>
      <c r="X14" s="591"/>
      <c r="Y14" s="591"/>
      <c r="Z14" s="591"/>
      <c r="AA14" s="577"/>
      <c r="AB14" s="592">
        <f>IF(O13=0,0,Z12/O13)</f>
        <v>0</v>
      </c>
      <c r="AC14" s="592">
        <f>IF(O13=0,0,AA12/O13)</f>
        <v>0</v>
      </c>
      <c r="AD14" s="591"/>
      <c r="AE14" s="577"/>
      <c r="AF14" s="591"/>
      <c r="AG14" s="577"/>
      <c r="AH14" s="577"/>
      <c r="AI14" s="591"/>
    </row>
    <row r="15" spans="1:35" ht="12.75" customHeight="1">
      <c r="A15" s="583" t="s">
        <v>173</v>
      </c>
      <c r="B15" s="168" t="s">
        <v>175</v>
      </c>
      <c r="C15" s="170"/>
      <c r="D15" s="170"/>
      <c r="E15" s="166"/>
      <c r="F15" s="169"/>
      <c r="G15" s="1771">
        <f>A155</f>
        <v>11</v>
      </c>
      <c r="H15" s="1772"/>
      <c r="I15" s="577"/>
      <c r="J15" s="577"/>
      <c r="K15" s="577"/>
      <c r="L15" s="198"/>
      <c r="M15" s="198"/>
      <c r="N15" s="199"/>
      <c r="O15" s="200"/>
      <c r="P15" s="201"/>
      <c r="Q15" s="202"/>
      <c r="R15" s="203"/>
      <c r="S15" s="204"/>
      <c r="T15" s="205"/>
      <c r="U15" s="206"/>
      <c r="V15" s="591"/>
      <c r="W15" s="577"/>
      <c r="X15" s="591"/>
      <c r="Y15" s="591"/>
      <c r="Z15" s="591"/>
      <c r="AA15" s="577"/>
      <c r="AB15" s="1775">
        <f>AB14+AC14</f>
        <v>0</v>
      </c>
      <c r="AC15" s="1776"/>
      <c r="AD15" s="593"/>
      <c r="AE15" s="577"/>
      <c r="AF15" s="591"/>
      <c r="AG15" s="577"/>
      <c r="AH15" s="577"/>
      <c r="AI15" s="577"/>
    </row>
    <row r="16" spans="1:35" ht="50.1" customHeight="1">
      <c r="A16" s="583" t="s">
        <v>173</v>
      </c>
      <c r="B16" s="1791" t="str">
        <f>VLOOKUP(G15,C156:F171,4,FALSE)</f>
        <v>Ab 04/2012 entfällt die Förderung der Eigenstromnutzung durch das EEG. 
Zwischen 04/2012 und 08/2014 gilt: Bei Dachanlagen von 10 - 1.000 kWp wird  darüber hinaus eine "Mindesteigenstromnutzung" von 10% gefordert (Die Einspeisevergütung wurde beschränkt auf 90% des erzeugten Stroms; Marktintegrationsmodell EEG); 
Nach 08/2014 entfällt die Regelung zur "Mindesteigenstromnutzung".</v>
      </c>
      <c r="C16" s="1792"/>
      <c r="D16" s="1792"/>
      <c r="E16" s="1792"/>
      <c r="F16" s="1792"/>
      <c r="G16" s="1792"/>
      <c r="H16" s="1793"/>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82"/>
      <c r="AH16" s="582"/>
      <c r="AI16" s="577"/>
    </row>
    <row r="17" spans="1:35">
      <c r="A17" s="583" t="s">
        <v>173</v>
      </c>
      <c r="B17" s="168" t="s">
        <v>174</v>
      </c>
      <c r="C17" s="170"/>
      <c r="D17" s="170"/>
      <c r="E17" s="166"/>
      <c r="F17" s="169"/>
      <c r="G17" s="1771">
        <f>B155</f>
        <v>0</v>
      </c>
      <c r="H17" s="1772"/>
      <c r="I17" s="577"/>
      <c r="J17" s="577"/>
      <c r="K17" s="1777">
        <v>0.01</v>
      </c>
      <c r="L17" s="217" t="s">
        <v>213</v>
      </c>
      <c r="M17" s="175"/>
      <c r="N17" s="175"/>
      <c r="O17" s="187" t="s">
        <v>119</v>
      </c>
      <c r="P17" s="188" t="s">
        <v>215</v>
      </c>
      <c r="Q17" s="212" t="s">
        <v>5</v>
      </c>
      <c r="R17" s="208" t="s">
        <v>225</v>
      </c>
      <c r="S17" s="194" t="s">
        <v>123</v>
      </c>
      <c r="T17" s="194" t="s">
        <v>123</v>
      </c>
      <c r="U17" s="194" t="s">
        <v>204</v>
      </c>
      <c r="V17" s="217" t="s">
        <v>222</v>
      </c>
      <c r="W17" s="175"/>
      <c r="X17" s="175"/>
      <c r="Y17" s="188" t="s">
        <v>205</v>
      </c>
      <c r="Z17" s="188" t="s">
        <v>205</v>
      </c>
      <c r="AA17" s="188" t="s">
        <v>205</v>
      </c>
      <c r="AB17" s="212" t="s">
        <v>224</v>
      </c>
      <c r="AC17" s="193" t="s">
        <v>226</v>
      </c>
      <c r="AD17" s="193" t="s">
        <v>226</v>
      </c>
      <c r="AE17" s="193" t="s">
        <v>5</v>
      </c>
      <c r="AF17" s="193" t="s">
        <v>5</v>
      </c>
      <c r="AG17" s="224" t="s">
        <v>123</v>
      </c>
      <c r="AH17" s="224" t="s">
        <v>123</v>
      </c>
      <c r="AI17" s="194" t="s">
        <v>204</v>
      </c>
    </row>
    <row r="18" spans="1:35">
      <c r="A18" s="583" t="s">
        <v>173</v>
      </c>
      <c r="B18" s="168" t="s">
        <v>112</v>
      </c>
      <c r="C18" s="170"/>
      <c r="D18" s="170"/>
      <c r="E18" s="166"/>
      <c r="F18" s="166"/>
      <c r="G18" s="1814">
        <f>Kalkulation_Eigenstrom!L27</f>
        <v>930</v>
      </c>
      <c r="H18" s="1815"/>
      <c r="I18" s="577"/>
      <c r="J18" s="577"/>
      <c r="K18" s="1778"/>
      <c r="L18" s="175"/>
      <c r="M18" s="175"/>
      <c r="N18" s="176"/>
      <c r="O18" s="187" t="s">
        <v>204</v>
      </c>
      <c r="P18" s="189" t="s">
        <v>214</v>
      </c>
      <c r="Q18" s="584" t="str">
        <f>$Q$7</f>
        <v>0-20Jahre</v>
      </c>
      <c r="R18" s="585" t="str">
        <f>$R$7</f>
        <v>21-20 Jahre</v>
      </c>
      <c r="S18" s="586">
        <f>$S$7</f>
        <v>1</v>
      </c>
      <c r="T18" s="586">
        <f>$T$7</f>
        <v>0</v>
      </c>
      <c r="U18" s="587" t="str">
        <f>$U$7</f>
        <v>0-20 Jahre</v>
      </c>
      <c r="V18" s="175"/>
      <c r="W18" s="175"/>
      <c r="X18" s="176"/>
      <c r="Y18" s="191" t="s">
        <v>204</v>
      </c>
      <c r="Z18" s="219">
        <f>$Z$7</f>
        <v>0.3</v>
      </c>
      <c r="AA18" s="220">
        <f>Z18</f>
        <v>0.3</v>
      </c>
      <c r="AB18" s="584" t="str">
        <f>"0-"&amp;G102&amp;"Jahre"</f>
        <v>0-0,231851439796571Jahre</v>
      </c>
      <c r="AC18" s="588" t="str">
        <f>"bis "&amp;Z18*100&amp;"%"</f>
        <v>bis 30%</v>
      </c>
      <c r="AD18" s="588" t="str">
        <f>"über "&amp;AA18*100&amp;"%"</f>
        <v>über 30%</v>
      </c>
      <c r="AE18" s="588" t="str">
        <f>"bis "&amp;Z18*100&amp;"%"</f>
        <v>bis 30%</v>
      </c>
      <c r="AF18" s="588" t="str">
        <f>"über "&amp;AA18*100&amp;"%"</f>
        <v>über 30%</v>
      </c>
      <c r="AG18" s="1780">
        <f>$AG$7</f>
        <v>1</v>
      </c>
      <c r="AH18" s="1781"/>
      <c r="AI18" s="588" t="str">
        <f>$AI$7</f>
        <v>0-20 Jahre</v>
      </c>
    </row>
    <row r="19" spans="1:35">
      <c r="A19" s="583" t="s">
        <v>173</v>
      </c>
      <c r="B19" s="165" t="s">
        <v>111</v>
      </c>
      <c r="C19" s="166"/>
      <c r="D19" s="166"/>
      <c r="E19" s="166"/>
      <c r="F19" s="166"/>
      <c r="G19" s="1810">
        <f>$G$6*$G$18</f>
        <v>0</v>
      </c>
      <c r="H19" s="1811"/>
      <c r="I19" s="577"/>
      <c r="J19" s="577"/>
      <c r="K19" s="1778"/>
      <c r="L19" s="175" t="str">
        <f>$L$8</f>
        <v>Dachanlage</v>
      </c>
      <c r="M19" s="175"/>
      <c r="N19" s="176" t="s">
        <v>104</v>
      </c>
      <c r="O19" s="187" t="s">
        <v>120</v>
      </c>
      <c r="P19" s="187" t="s">
        <v>120</v>
      </c>
      <c r="Q19" s="213" t="s">
        <v>122</v>
      </c>
      <c r="R19" s="209" t="s">
        <v>122</v>
      </c>
      <c r="S19" s="183" t="s">
        <v>124</v>
      </c>
      <c r="T19" s="183" t="s">
        <v>124</v>
      </c>
      <c r="U19" s="183" t="s">
        <v>124</v>
      </c>
      <c r="V19" s="223"/>
      <c r="W19" s="175"/>
      <c r="X19" s="176" t="str">
        <f>N19</f>
        <v>Anteile</v>
      </c>
      <c r="Y19" s="192" t="s">
        <v>120</v>
      </c>
      <c r="Z19" s="192" t="s">
        <v>120</v>
      </c>
      <c r="AA19" s="192" t="s">
        <v>120</v>
      </c>
      <c r="AB19" s="213" t="s">
        <v>122</v>
      </c>
      <c r="AC19" s="213" t="s">
        <v>122</v>
      </c>
      <c r="AD19" s="213" t="s">
        <v>122</v>
      </c>
      <c r="AE19" s="213" t="s">
        <v>122</v>
      </c>
      <c r="AF19" s="213" t="s">
        <v>122</v>
      </c>
      <c r="AG19" s="183" t="s">
        <v>124</v>
      </c>
      <c r="AH19" s="183" t="s">
        <v>124</v>
      </c>
      <c r="AI19" s="183" t="s">
        <v>124</v>
      </c>
    </row>
    <row r="20" spans="1:35">
      <c r="A20" s="583" t="s">
        <v>173</v>
      </c>
      <c r="B20" s="165" t="s">
        <v>266</v>
      </c>
      <c r="C20" s="166"/>
      <c r="D20" s="166"/>
      <c r="E20" s="166"/>
      <c r="F20" s="166"/>
      <c r="G20" s="1806">
        <f>Kalkulation_Eigenstrom!M29</f>
        <v>5.0000000000000001E-3</v>
      </c>
      <c r="H20" s="1807"/>
      <c r="I20" s="577"/>
      <c r="J20" s="577"/>
      <c r="K20" s="1778"/>
      <c r="L20" s="1782">
        <f>$L$9</f>
        <v>10</v>
      </c>
      <c r="M20" s="1782"/>
      <c r="N20" s="180">
        <f>$N$9</f>
        <v>1</v>
      </c>
      <c r="O20" s="190">
        <f>$O$9</f>
        <v>0</v>
      </c>
      <c r="P20" s="190">
        <f>P24*N20</f>
        <v>0</v>
      </c>
      <c r="Q20" s="214">
        <f>$Q$9</f>
        <v>6.4299999999999996E-2</v>
      </c>
      <c r="R20" s="210">
        <f>$R$9</f>
        <v>0.05</v>
      </c>
      <c r="S20" s="182">
        <f>P20*Q20*S18</f>
        <v>0</v>
      </c>
      <c r="T20" s="182">
        <f>P20*R20*T18</f>
        <v>0</v>
      </c>
      <c r="U20" s="182">
        <f>S20+T20</f>
        <v>0</v>
      </c>
      <c r="V20" s="228" t="s">
        <v>238</v>
      </c>
      <c r="W20" s="229">
        <f>L20</f>
        <v>10</v>
      </c>
      <c r="X20" s="180">
        <f>N20</f>
        <v>1</v>
      </c>
      <c r="Y20" s="190">
        <f>Y23*N20</f>
        <v>0</v>
      </c>
      <c r="Z20" s="190">
        <f>IF(O20=0,0,IF((Y20/O20)&gt;Z18,O20*Z18,Y20))</f>
        <v>0</v>
      </c>
      <c r="AA20" s="190">
        <f>IF(O20=0,0,IF((Y20/O20)&gt;Z18,Y20-(O20*Z18),0))</f>
        <v>0</v>
      </c>
      <c r="AB20" s="214">
        <f>$AB$9</f>
        <v>6.4299999999999996E-2</v>
      </c>
      <c r="AC20" s="181">
        <f>$AC$9</f>
        <v>0</v>
      </c>
      <c r="AD20" s="181">
        <f>$AD$9</f>
        <v>0</v>
      </c>
      <c r="AE20" s="181">
        <f>IF($G$6&gt;$AB$4,0,IF($AB$5=3,0,AB20-AC20))</f>
        <v>6.4299999999999996E-2</v>
      </c>
      <c r="AF20" s="181">
        <f>IF($G$6&gt;$AB$4,0,IF($AB$5=3,0,AB20-AD20))</f>
        <v>6.4299999999999996E-2</v>
      </c>
      <c r="AG20" s="182">
        <f>Z20*AE20*AG18</f>
        <v>0</v>
      </c>
      <c r="AH20" s="182">
        <f>AA20*AF20*AG18</f>
        <v>0</v>
      </c>
      <c r="AI20" s="182">
        <f>AG20+AH20</f>
        <v>0</v>
      </c>
    </row>
    <row r="21" spans="1:35">
      <c r="A21" s="583" t="s">
        <v>173</v>
      </c>
      <c r="B21" s="165" t="s">
        <v>202</v>
      </c>
      <c r="C21" s="166"/>
      <c r="D21" s="166"/>
      <c r="E21" s="166"/>
      <c r="F21" s="166"/>
      <c r="G21" s="1816">
        <f>Kalkulation_Eigenstrom!AN43</f>
        <v>20</v>
      </c>
      <c r="H21" s="1817"/>
      <c r="I21" s="577"/>
      <c r="J21" s="577"/>
      <c r="K21" s="1778"/>
      <c r="L21" s="1782">
        <f>$L$10</f>
        <v>40</v>
      </c>
      <c r="M21" s="1782"/>
      <c r="N21" s="180">
        <f>$N$10</f>
        <v>0</v>
      </c>
      <c r="O21" s="190">
        <f>$O$10</f>
        <v>0</v>
      </c>
      <c r="P21" s="190">
        <f>P24*N21</f>
        <v>0</v>
      </c>
      <c r="Q21" s="214">
        <f>$Q$10</f>
        <v>6.25E-2</v>
      </c>
      <c r="R21" s="210">
        <f>$R$10</f>
        <v>0.05</v>
      </c>
      <c r="S21" s="182">
        <f>P21*Q21*S18</f>
        <v>0</v>
      </c>
      <c r="T21" s="182">
        <f>P21*R21*T18</f>
        <v>0</v>
      </c>
      <c r="U21" s="182">
        <f>S21+T21</f>
        <v>0</v>
      </c>
      <c r="V21" s="228" t="s">
        <v>238</v>
      </c>
      <c r="W21" s="229">
        <f>L21</f>
        <v>40</v>
      </c>
      <c r="X21" s="180">
        <f>N21</f>
        <v>0</v>
      </c>
      <c r="Y21" s="190">
        <f>Y23*N21</f>
        <v>0</v>
      </c>
      <c r="Z21" s="190">
        <f>IF(O21=0,0,IF((Y21/O21)&gt;Z18,O21*Z18,Y21))</f>
        <v>0</v>
      </c>
      <c r="AA21" s="190">
        <f>IF(O21=0,0,IF((Y21/O21)&gt;Z18,Y21-(O21*Z18),0))</f>
        <v>0</v>
      </c>
      <c r="AB21" s="214">
        <f>$AB$10</f>
        <v>6.25E-2</v>
      </c>
      <c r="AC21" s="181">
        <f>$AC$10</f>
        <v>0</v>
      </c>
      <c r="AD21" s="181">
        <f>$AD$10</f>
        <v>0</v>
      </c>
      <c r="AE21" s="181">
        <f>IF($G$6&gt;$AB$4,0,IF($AB$5=3,0,AB21-AC21))</f>
        <v>6.25E-2</v>
      </c>
      <c r="AF21" s="181">
        <f>IF($G$6&gt;$AB$4,0,IF($AB$5=3,0,AB21-AD21))</f>
        <v>6.25E-2</v>
      </c>
      <c r="AG21" s="182">
        <f>Z21*AE21*AG18</f>
        <v>0</v>
      </c>
      <c r="AH21" s="182">
        <f>AA21*AF21*AG18</f>
        <v>0</v>
      </c>
      <c r="AI21" s="182">
        <f>AG21+AH21</f>
        <v>0</v>
      </c>
    </row>
    <row r="22" spans="1:35">
      <c r="A22" s="583" t="s">
        <v>173</v>
      </c>
      <c r="B22" s="165" t="str">
        <f>"Ertrag im "&amp;G21&amp;". Jahr"</f>
        <v>Ertrag im 20. Jahr</v>
      </c>
      <c r="C22" s="166"/>
      <c r="D22" s="166"/>
      <c r="E22" s="166"/>
      <c r="F22" s="166"/>
      <c r="G22" s="1810">
        <f>POWER((1-$G$20),G21-1)*G19</f>
        <v>0</v>
      </c>
      <c r="H22" s="1811"/>
      <c r="I22" s="577"/>
      <c r="J22" s="577"/>
      <c r="K22" s="1778"/>
      <c r="L22" s="1782">
        <f>$L$11</f>
        <v>1000</v>
      </c>
      <c r="M22" s="1782"/>
      <c r="N22" s="180">
        <f>$N$11</f>
        <v>0</v>
      </c>
      <c r="O22" s="190">
        <f>$O$11</f>
        <v>0</v>
      </c>
      <c r="P22" s="190">
        <f>P24*N22</f>
        <v>0</v>
      </c>
      <c r="Q22" s="214">
        <f>$Q$11</f>
        <v>4.8800000000000003E-2</v>
      </c>
      <c r="R22" s="210">
        <f>$R$11</f>
        <v>0.05</v>
      </c>
      <c r="S22" s="182">
        <f>P22*Q22*S18</f>
        <v>0</v>
      </c>
      <c r="T22" s="182">
        <f>P22*R22*T18</f>
        <v>0</v>
      </c>
      <c r="U22" s="182">
        <f>S22+T22</f>
        <v>0</v>
      </c>
      <c r="V22" s="228" t="s">
        <v>238</v>
      </c>
      <c r="W22" s="230">
        <v>500</v>
      </c>
      <c r="X22" s="180">
        <f>N22</f>
        <v>0</v>
      </c>
      <c r="Y22" s="190">
        <f>Y23*N22</f>
        <v>0</v>
      </c>
      <c r="Z22" s="190">
        <f>IF(O22=0,0,IF((Y22/O22)&gt;Z18,O22*Z18,Y22))</f>
        <v>0</v>
      </c>
      <c r="AA22" s="190">
        <f>IF(O22=0,0,IF((Y22/O22)&gt;Z18,Y22-(O22*Z18),0))</f>
        <v>0</v>
      </c>
      <c r="AB22" s="214">
        <f>$AB$11</f>
        <v>4.8800000000000003E-2</v>
      </c>
      <c r="AC22" s="181">
        <f>$AC$11</f>
        <v>0</v>
      </c>
      <c r="AD22" s="181">
        <f>$AD$11</f>
        <v>0</v>
      </c>
      <c r="AE22" s="181">
        <f>IF($G$6&gt;$AB$4,0,IF($AB$5=3,0,AB22-AC22))</f>
        <v>4.8800000000000003E-2</v>
      </c>
      <c r="AF22" s="181">
        <f>IF($G$6&gt;$AB$4,0,IF($AB$5=3,0,AB22-AD22))</f>
        <v>4.8800000000000003E-2</v>
      </c>
      <c r="AG22" s="182">
        <f>Z22*AE22*AG18</f>
        <v>0</v>
      </c>
      <c r="AH22" s="182">
        <f>AA22*AF22*AG18</f>
        <v>0</v>
      </c>
      <c r="AI22" s="182">
        <f>AG22+AH22</f>
        <v>0</v>
      </c>
    </row>
    <row r="23" spans="1:35">
      <c r="A23" s="583" t="s">
        <v>173</v>
      </c>
      <c r="B23" s="165" t="s">
        <v>105</v>
      </c>
      <c r="C23" s="166"/>
      <c r="D23" s="166"/>
      <c r="E23" s="166"/>
      <c r="F23" s="166"/>
      <c r="G23" s="1810">
        <f>(G19+G22)/2</f>
        <v>0</v>
      </c>
      <c r="H23" s="1811"/>
      <c r="I23" s="577"/>
      <c r="J23" s="577"/>
      <c r="K23" s="1778"/>
      <c r="L23" s="1783">
        <f>$L$12</f>
        <v>1000</v>
      </c>
      <c r="M23" s="1783"/>
      <c r="N23" s="180">
        <f>$N$12</f>
        <v>0</v>
      </c>
      <c r="O23" s="190">
        <f>$O$12</f>
        <v>0</v>
      </c>
      <c r="P23" s="190">
        <f>P24*N23</f>
        <v>0</v>
      </c>
      <c r="Q23" s="214">
        <f>$Q$12</f>
        <v>4.3999999999999997E-2</v>
      </c>
      <c r="R23" s="210">
        <f>$R$12</f>
        <v>0.05</v>
      </c>
      <c r="S23" s="182">
        <f>P23*Q23*S18</f>
        <v>0</v>
      </c>
      <c r="T23" s="182">
        <f>P23*R23*T18</f>
        <v>0</v>
      </c>
      <c r="U23" s="182">
        <f>S23+T23</f>
        <v>0</v>
      </c>
      <c r="V23" s="184"/>
      <c r="W23" s="185" t="str">
        <f>M24</f>
        <v xml:space="preserve"> gesamt</v>
      </c>
      <c r="X23" s="186">
        <f>N24</f>
        <v>1</v>
      </c>
      <c r="Y23" s="195">
        <f>O24-P24</f>
        <v>0</v>
      </c>
      <c r="Z23" s="195">
        <f>SUM(Z20:Z22)</f>
        <v>0</v>
      </c>
      <c r="AA23" s="195">
        <f>SUM(AA20:AA22)</f>
        <v>0</v>
      </c>
      <c r="AB23" s="215"/>
      <c r="AC23" s="216"/>
      <c r="AD23" s="196"/>
      <c r="AE23" s="196"/>
      <c r="AF23" s="196"/>
      <c r="AG23" s="196">
        <f>SUM(AG20:AG22)</f>
        <v>0</v>
      </c>
      <c r="AH23" s="196">
        <f>SUM(AH20:AH22)</f>
        <v>0</v>
      </c>
      <c r="AI23" s="216">
        <f>SUM(AI20:AI22)</f>
        <v>0</v>
      </c>
    </row>
    <row r="24" spans="1:35">
      <c r="A24" s="577"/>
      <c r="B24" s="577"/>
      <c r="C24" s="577"/>
      <c r="D24" s="577"/>
      <c r="E24" s="577"/>
      <c r="F24" s="577"/>
      <c r="G24" s="577"/>
      <c r="H24" s="577"/>
      <c r="I24" s="577"/>
      <c r="J24" s="577"/>
      <c r="K24" s="1778"/>
      <c r="L24" s="184"/>
      <c r="M24" s="185" t="s">
        <v>216</v>
      </c>
      <c r="N24" s="186">
        <f>SUM(N20:N23)</f>
        <v>1</v>
      </c>
      <c r="O24" s="195">
        <f>$O$13</f>
        <v>0</v>
      </c>
      <c r="P24" s="195">
        <f>O24*(1-K17)</f>
        <v>0</v>
      </c>
      <c r="Q24" s="215"/>
      <c r="R24" s="211"/>
      <c r="S24" s="196">
        <f>SUM(S20:S23)</f>
        <v>0</v>
      </c>
      <c r="T24" s="196">
        <f>SUM(T20:T23)</f>
        <v>0</v>
      </c>
      <c r="U24" s="196">
        <f>SUM(U20:U23)</f>
        <v>0</v>
      </c>
      <c r="V24" s="177"/>
      <c r="W24" s="178"/>
      <c r="X24" s="179"/>
      <c r="Y24" s="179"/>
      <c r="Z24" s="1784">
        <f>Z23+AA23</f>
        <v>0</v>
      </c>
      <c r="AA24" s="1785"/>
      <c r="AB24" s="197"/>
      <c r="AC24" s="197"/>
      <c r="AD24" s="177"/>
      <c r="AE24" s="177"/>
      <c r="AF24" s="177"/>
      <c r="AG24" s="1784">
        <f>AG23+AH23</f>
        <v>0</v>
      </c>
      <c r="AH24" s="1785"/>
      <c r="AI24" s="197"/>
    </row>
    <row r="25" spans="1:35">
      <c r="A25" s="583" t="s">
        <v>173</v>
      </c>
      <c r="B25" s="168" t="s">
        <v>199</v>
      </c>
      <c r="C25" s="170"/>
      <c r="D25" s="170"/>
      <c r="E25" s="166"/>
      <c r="F25" s="167"/>
      <c r="G25" s="1804">
        <f>IF($F$10=2,0,VLOOKUP($F$12,Vergütungen_Stammdaten!$B$6:$AG$188,28,FALSE))</f>
        <v>0</v>
      </c>
      <c r="H25" s="1805"/>
      <c r="I25" s="577"/>
      <c r="J25" s="577"/>
      <c r="K25" s="1779"/>
      <c r="L25" s="177"/>
      <c r="M25" s="178" t="s">
        <v>206</v>
      </c>
      <c r="N25" s="590"/>
      <c r="O25" s="179">
        <f>SUM(O20:O23)</f>
        <v>0</v>
      </c>
      <c r="P25" s="179">
        <f>SUM(P20:P23)</f>
        <v>0</v>
      </c>
      <c r="Q25" s="197"/>
      <c r="R25" s="197"/>
      <c r="S25" s="1784">
        <f>S24+T24</f>
        <v>0</v>
      </c>
      <c r="T25" s="1785"/>
      <c r="U25" s="225"/>
      <c r="V25" s="591"/>
      <c r="W25" s="577"/>
      <c r="X25" s="591"/>
      <c r="Y25" s="591"/>
      <c r="Z25" s="591"/>
      <c r="AA25" s="577"/>
      <c r="AB25" s="592">
        <f>IF(O24=0,0,Z23/O24)</f>
        <v>0</v>
      </c>
      <c r="AC25" s="592">
        <f>IF(O24=0,0,AA23/O24)</f>
        <v>0</v>
      </c>
      <c r="AD25" s="591"/>
      <c r="AE25" s="577"/>
      <c r="AF25" s="591"/>
      <c r="AG25" s="577"/>
      <c r="AH25" s="577"/>
      <c r="AI25" s="591"/>
    </row>
    <row r="26" spans="1:35">
      <c r="A26" s="583" t="s">
        <v>173</v>
      </c>
      <c r="B26" s="168" t="s">
        <v>200</v>
      </c>
      <c r="C26" s="166"/>
      <c r="D26" s="166"/>
      <c r="E26" s="166"/>
      <c r="F26" s="166"/>
      <c r="G26" s="1804">
        <f>IF($F$10=2,0,VLOOKUP($F$12,Vergütungen_Stammdaten!$B$6:$AG$188,30,FALSE))</f>
        <v>0</v>
      </c>
      <c r="H26" s="1805"/>
      <c r="I26" s="577"/>
      <c r="J26" s="577"/>
      <c r="K26" s="577"/>
      <c r="L26" s="198"/>
      <c r="M26" s="198"/>
      <c r="N26" s="199"/>
      <c r="O26" s="200"/>
      <c r="P26" s="201"/>
      <c r="Q26" s="202"/>
      <c r="R26" s="203"/>
      <c r="S26" s="204"/>
      <c r="T26" s="205"/>
      <c r="U26" s="206"/>
      <c r="V26" s="591"/>
      <c r="W26" s="577"/>
      <c r="X26" s="591"/>
      <c r="Y26" s="591"/>
      <c r="Z26" s="591"/>
      <c r="AA26" s="577"/>
      <c r="AB26" s="1775">
        <f>AB25+AC25</f>
        <v>0</v>
      </c>
      <c r="AC26" s="1776"/>
      <c r="AD26" s="593"/>
      <c r="AE26" s="577"/>
      <c r="AF26" s="591"/>
      <c r="AG26" s="577"/>
      <c r="AH26" s="577"/>
      <c r="AI26" s="577"/>
    </row>
    <row r="27" spans="1:35">
      <c r="A27" s="583" t="s">
        <v>173</v>
      </c>
      <c r="B27" s="168" t="s">
        <v>212</v>
      </c>
      <c r="C27" s="166"/>
      <c r="D27" s="166"/>
      <c r="E27" s="166"/>
      <c r="F27" s="166"/>
      <c r="G27" s="1804">
        <f>IF($F$10=2,0,VLOOKUP($F$12,Vergütungen_Stammdaten!$B$6:$AG$188,32,FALSE))</f>
        <v>0</v>
      </c>
      <c r="H27" s="1805"/>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82"/>
      <c r="AH27" s="582"/>
      <c r="AI27" s="577"/>
    </row>
    <row r="28" spans="1:35">
      <c r="A28" s="583" t="s">
        <v>173</v>
      </c>
      <c r="B28" s="168" t="s">
        <v>201</v>
      </c>
      <c r="C28" s="170"/>
      <c r="D28" s="170"/>
      <c r="E28" s="166"/>
      <c r="F28" s="167"/>
      <c r="G28" s="1804">
        <f>IF(G6&lt;=10,G25,IF(G6&gt;1000,G27,G26))</f>
        <v>0</v>
      </c>
      <c r="H28" s="1805"/>
      <c r="I28" s="577"/>
      <c r="J28" s="577"/>
      <c r="K28" s="1777">
        <v>0.05</v>
      </c>
      <c r="L28" s="217" t="s">
        <v>213</v>
      </c>
      <c r="M28" s="175"/>
      <c r="N28" s="175"/>
      <c r="O28" s="187" t="s">
        <v>119</v>
      </c>
      <c r="P28" s="188" t="s">
        <v>215</v>
      </c>
      <c r="Q28" s="212" t="s">
        <v>5</v>
      </c>
      <c r="R28" s="208" t="s">
        <v>225</v>
      </c>
      <c r="S28" s="194" t="s">
        <v>123</v>
      </c>
      <c r="T28" s="194" t="s">
        <v>123</v>
      </c>
      <c r="U28" s="194" t="s">
        <v>204</v>
      </c>
      <c r="V28" s="217" t="s">
        <v>222</v>
      </c>
      <c r="W28" s="175"/>
      <c r="X28" s="175"/>
      <c r="Y28" s="188" t="s">
        <v>205</v>
      </c>
      <c r="Z28" s="188" t="s">
        <v>205</v>
      </c>
      <c r="AA28" s="188" t="s">
        <v>205</v>
      </c>
      <c r="AB28" s="212" t="s">
        <v>224</v>
      </c>
      <c r="AC28" s="193" t="s">
        <v>226</v>
      </c>
      <c r="AD28" s="193" t="s">
        <v>226</v>
      </c>
      <c r="AE28" s="193" t="s">
        <v>5</v>
      </c>
      <c r="AF28" s="193" t="s">
        <v>5</v>
      </c>
      <c r="AG28" s="224" t="s">
        <v>123</v>
      </c>
      <c r="AH28" s="224" t="s">
        <v>123</v>
      </c>
      <c r="AI28" s="194" t="s">
        <v>204</v>
      </c>
    </row>
    <row r="29" spans="1:35">
      <c r="A29" s="583" t="s">
        <v>173</v>
      </c>
      <c r="B29" s="168" t="s">
        <v>117</v>
      </c>
      <c r="C29" s="170"/>
      <c r="D29" s="170"/>
      <c r="E29" s="166"/>
      <c r="F29" s="166"/>
      <c r="G29" s="1810">
        <f>$G$23*$G$28</f>
        <v>0</v>
      </c>
      <c r="H29" s="1811"/>
      <c r="I29" s="577"/>
      <c r="J29" s="577"/>
      <c r="K29" s="1778"/>
      <c r="L29" s="175"/>
      <c r="M29" s="175"/>
      <c r="N29" s="176"/>
      <c r="O29" s="187" t="s">
        <v>204</v>
      </c>
      <c r="P29" s="189" t="s">
        <v>214</v>
      </c>
      <c r="Q29" s="584" t="str">
        <f>$Q$7</f>
        <v>0-20Jahre</v>
      </c>
      <c r="R29" s="585" t="str">
        <f>$R$7</f>
        <v>21-20 Jahre</v>
      </c>
      <c r="S29" s="586">
        <f>$S$7</f>
        <v>1</v>
      </c>
      <c r="T29" s="586">
        <f>$T$7</f>
        <v>0</v>
      </c>
      <c r="U29" s="587" t="str">
        <f>$U$7</f>
        <v>0-20 Jahre</v>
      </c>
      <c r="V29" s="175"/>
      <c r="W29" s="175"/>
      <c r="X29" s="176"/>
      <c r="Y29" s="191" t="s">
        <v>204</v>
      </c>
      <c r="Z29" s="219">
        <f>$Z$7</f>
        <v>0.3</v>
      </c>
      <c r="AA29" s="220">
        <f>Z29</f>
        <v>0.3</v>
      </c>
      <c r="AB29" s="584" t="str">
        <f>"0-"&amp;G102&amp;"Jahre"</f>
        <v>0-0,231851439796571Jahre</v>
      </c>
      <c r="AC29" s="588" t="str">
        <f>"bis "&amp;Z29*100&amp;"%"</f>
        <v>bis 30%</v>
      </c>
      <c r="AD29" s="588" t="str">
        <f>"über "&amp;AA29*100&amp;"%"</f>
        <v>über 30%</v>
      </c>
      <c r="AE29" s="588" t="str">
        <f>"bis "&amp;Z29*100&amp;"%"</f>
        <v>bis 30%</v>
      </c>
      <c r="AF29" s="588" t="str">
        <f>"über "&amp;AA29*100&amp;"%"</f>
        <v>über 30%</v>
      </c>
      <c r="AG29" s="1780">
        <f>$AG$7</f>
        <v>1</v>
      </c>
      <c r="AH29" s="1781"/>
      <c r="AI29" s="588" t="str">
        <f>$AI$7</f>
        <v>0-20 Jahre</v>
      </c>
    </row>
    <row r="30" spans="1:35">
      <c r="A30" s="583" t="s">
        <v>173</v>
      </c>
      <c r="B30" s="168" t="s">
        <v>268</v>
      </c>
      <c r="C30" s="170"/>
      <c r="D30" s="170"/>
      <c r="E30" s="166"/>
      <c r="F30" s="589">
        <f>Kalkulation_Eigenstrom!BD27</f>
        <v>30</v>
      </c>
      <c r="G30" s="1810">
        <f>G23/100*F30</f>
        <v>0</v>
      </c>
      <c r="H30" s="1811"/>
      <c r="I30" s="577"/>
      <c r="J30" s="577"/>
      <c r="K30" s="1778"/>
      <c r="L30" s="175" t="str">
        <f>$L$8</f>
        <v>Dachanlage</v>
      </c>
      <c r="M30" s="175"/>
      <c r="N30" s="176" t="s">
        <v>104</v>
      </c>
      <c r="O30" s="187" t="s">
        <v>120</v>
      </c>
      <c r="P30" s="187" t="s">
        <v>120</v>
      </c>
      <c r="Q30" s="213" t="s">
        <v>122</v>
      </c>
      <c r="R30" s="209" t="s">
        <v>122</v>
      </c>
      <c r="S30" s="183" t="s">
        <v>124</v>
      </c>
      <c r="T30" s="183" t="s">
        <v>124</v>
      </c>
      <c r="U30" s="183" t="s">
        <v>124</v>
      </c>
      <c r="V30" s="223"/>
      <c r="W30" s="175"/>
      <c r="X30" s="176" t="str">
        <f>N30</f>
        <v>Anteile</v>
      </c>
      <c r="Y30" s="192" t="s">
        <v>120</v>
      </c>
      <c r="Z30" s="192" t="s">
        <v>120</v>
      </c>
      <c r="AA30" s="192" t="s">
        <v>120</v>
      </c>
      <c r="AB30" s="213" t="s">
        <v>122</v>
      </c>
      <c r="AC30" s="213" t="s">
        <v>122</v>
      </c>
      <c r="AD30" s="213" t="s">
        <v>122</v>
      </c>
      <c r="AE30" s="213" t="s">
        <v>122</v>
      </c>
      <c r="AF30" s="213" t="s">
        <v>122</v>
      </c>
      <c r="AG30" s="183" t="s">
        <v>124</v>
      </c>
      <c r="AH30" s="183" t="s">
        <v>124</v>
      </c>
      <c r="AI30" s="183" t="s">
        <v>124</v>
      </c>
    </row>
    <row r="31" spans="1:35">
      <c r="A31" s="583" t="s">
        <v>173</v>
      </c>
      <c r="B31" s="168" t="s">
        <v>118</v>
      </c>
      <c r="C31" s="170"/>
      <c r="D31" s="170"/>
      <c r="E31" s="166"/>
      <c r="F31" s="166"/>
      <c r="G31" s="1810">
        <f>IF((G30)&lt;G29,G29,(G30))</f>
        <v>0</v>
      </c>
      <c r="H31" s="1811"/>
      <c r="I31" s="594">
        <f>IF(G23=0,0,G31/G23)</f>
        <v>0</v>
      </c>
      <c r="J31" s="595"/>
      <c r="K31" s="1778"/>
      <c r="L31" s="1782">
        <f>$L$9</f>
        <v>10</v>
      </c>
      <c r="M31" s="1782"/>
      <c r="N31" s="180">
        <f>$N$9</f>
        <v>1</v>
      </c>
      <c r="O31" s="190">
        <f>$O$9</f>
        <v>0</v>
      </c>
      <c r="P31" s="190">
        <f>P35*N31</f>
        <v>0</v>
      </c>
      <c r="Q31" s="214">
        <f>$Q$9</f>
        <v>6.4299999999999996E-2</v>
      </c>
      <c r="R31" s="210">
        <f>$R$9</f>
        <v>0.05</v>
      </c>
      <c r="S31" s="182">
        <f>P31*Q31*S29</f>
        <v>0</v>
      </c>
      <c r="T31" s="182">
        <f>P31*R31*T29</f>
        <v>0</v>
      </c>
      <c r="U31" s="182">
        <f>S31+T31</f>
        <v>0</v>
      </c>
      <c r="V31" s="228" t="s">
        <v>238</v>
      </c>
      <c r="W31" s="229">
        <f>L31</f>
        <v>10</v>
      </c>
      <c r="X31" s="180">
        <f>N31</f>
        <v>1</v>
      </c>
      <c r="Y31" s="190">
        <f>Y34*N31</f>
        <v>0</v>
      </c>
      <c r="Z31" s="190">
        <f>IF(O31=0,0,IF((Y31/O31)&gt;Z29,O31*Z29,Y31))</f>
        <v>0</v>
      </c>
      <c r="AA31" s="190">
        <f>IF(O31=0,0,IF((Y31/O31)&gt;Z29,Y31-(O31*Z29),0))</f>
        <v>0</v>
      </c>
      <c r="AB31" s="214">
        <f>$AB$9</f>
        <v>6.4299999999999996E-2</v>
      </c>
      <c r="AC31" s="181">
        <f>$AC$9</f>
        <v>0</v>
      </c>
      <c r="AD31" s="181">
        <f>$AD$9</f>
        <v>0</v>
      </c>
      <c r="AE31" s="181">
        <f>IF($G$6&gt;$AB$4,0,IF($AB$5=3,0,AB31-AC31))</f>
        <v>6.4299999999999996E-2</v>
      </c>
      <c r="AF31" s="181">
        <f>IF($G$6&gt;$AB$4,0,IF($AB$5=3,0,AB31-AD31))</f>
        <v>6.4299999999999996E-2</v>
      </c>
      <c r="AG31" s="182">
        <f>Z31*AE31*AG29</f>
        <v>0</v>
      </c>
      <c r="AH31" s="182">
        <f>AA31*AF31*AG29</f>
        <v>0</v>
      </c>
      <c r="AI31" s="182">
        <f>AG31+AH31</f>
        <v>0</v>
      </c>
    </row>
    <row r="32" spans="1:35">
      <c r="A32" s="583" t="s">
        <v>173</v>
      </c>
      <c r="B32" s="168" t="s">
        <v>125</v>
      </c>
      <c r="C32" s="170"/>
      <c r="D32" s="170"/>
      <c r="E32" s="166"/>
      <c r="F32" s="166"/>
      <c r="G32" s="1810">
        <f>G23-G31</f>
        <v>0</v>
      </c>
      <c r="H32" s="1811"/>
      <c r="I32" s="594">
        <f>IF(G23=0,0,G32/G23)</f>
        <v>0</v>
      </c>
      <c r="J32" s="595"/>
      <c r="K32" s="1778"/>
      <c r="L32" s="1782">
        <f>$L$10</f>
        <v>40</v>
      </c>
      <c r="M32" s="1782"/>
      <c r="N32" s="180">
        <f>$N$10</f>
        <v>0</v>
      </c>
      <c r="O32" s="190">
        <f>$O$10</f>
        <v>0</v>
      </c>
      <c r="P32" s="190">
        <f>P35*N32</f>
        <v>0</v>
      </c>
      <c r="Q32" s="214">
        <f>$Q$10</f>
        <v>6.25E-2</v>
      </c>
      <c r="R32" s="210">
        <f>$R$10</f>
        <v>0.05</v>
      </c>
      <c r="S32" s="182">
        <f>P32*Q32*S29</f>
        <v>0</v>
      </c>
      <c r="T32" s="182">
        <f>P32*R32*T29</f>
        <v>0</v>
      </c>
      <c r="U32" s="182">
        <f>S32+T32</f>
        <v>0</v>
      </c>
      <c r="V32" s="228" t="s">
        <v>238</v>
      </c>
      <c r="W32" s="229">
        <f>L32</f>
        <v>40</v>
      </c>
      <c r="X32" s="180">
        <f>N32</f>
        <v>0</v>
      </c>
      <c r="Y32" s="190">
        <f>Y34*N32</f>
        <v>0</v>
      </c>
      <c r="Z32" s="190">
        <f>IF(O32=0,0,IF((Y32/O32)&gt;Z29,O32*Z29,Y32))</f>
        <v>0</v>
      </c>
      <c r="AA32" s="190">
        <f>IF(O32=0,0,IF((Y32/O32)&gt;Z29,Y32-(O32*Z29),0))</f>
        <v>0</v>
      </c>
      <c r="AB32" s="214">
        <f>$AB$10</f>
        <v>6.25E-2</v>
      </c>
      <c r="AC32" s="181">
        <f>$AC$10</f>
        <v>0</v>
      </c>
      <c r="AD32" s="181">
        <f>$AD$10</f>
        <v>0</v>
      </c>
      <c r="AE32" s="181">
        <f>IF($G$6&gt;$AB$4,0,IF($AB$5=3,0,AB32-AC32))</f>
        <v>6.25E-2</v>
      </c>
      <c r="AF32" s="181">
        <f>IF($G$6&gt;$AB$4,0,IF($AB$5=3,0,AB32-AD32))</f>
        <v>6.25E-2</v>
      </c>
      <c r="AG32" s="182">
        <f>Z32*AE32*AG29</f>
        <v>0</v>
      </c>
      <c r="AH32" s="182">
        <f>AA32*AF32*AG29</f>
        <v>0</v>
      </c>
      <c r="AI32" s="182">
        <f>AG32+AH32</f>
        <v>0</v>
      </c>
    </row>
    <row r="33" spans="1:35">
      <c r="A33" s="583" t="s">
        <v>173</v>
      </c>
      <c r="B33" s="168" t="s">
        <v>273</v>
      </c>
      <c r="C33" s="170"/>
      <c r="D33" s="170"/>
      <c r="E33" s="166"/>
      <c r="F33" s="149"/>
      <c r="G33" s="1771">
        <f>IF((G28*100)&gt;F30,1,0)</f>
        <v>0</v>
      </c>
      <c r="H33" s="1772"/>
      <c r="I33" s="595"/>
      <c r="J33" s="595"/>
      <c r="K33" s="1778"/>
      <c r="L33" s="1782">
        <f>$L$11</f>
        <v>1000</v>
      </c>
      <c r="M33" s="1782"/>
      <c r="N33" s="180">
        <f>$N$11</f>
        <v>0</v>
      </c>
      <c r="O33" s="190">
        <f>$O$11</f>
        <v>0</v>
      </c>
      <c r="P33" s="190">
        <f>P35*N33</f>
        <v>0</v>
      </c>
      <c r="Q33" s="214">
        <f>$Q$11</f>
        <v>4.8800000000000003E-2</v>
      </c>
      <c r="R33" s="210">
        <f>$R$11</f>
        <v>0.05</v>
      </c>
      <c r="S33" s="182">
        <f>P33*Q33*S29</f>
        <v>0</v>
      </c>
      <c r="T33" s="182">
        <f>P33*R33*T29</f>
        <v>0</v>
      </c>
      <c r="U33" s="182">
        <f>S33+T33</f>
        <v>0</v>
      </c>
      <c r="V33" s="228" t="s">
        <v>238</v>
      </c>
      <c r="W33" s="230">
        <v>500</v>
      </c>
      <c r="X33" s="180">
        <f>N33</f>
        <v>0</v>
      </c>
      <c r="Y33" s="190">
        <f>Y34*N33</f>
        <v>0</v>
      </c>
      <c r="Z33" s="190">
        <f>IF(O33=0,0,IF((Y33/O33)&gt;Z29,O33*Z29,Y33))</f>
        <v>0</v>
      </c>
      <c r="AA33" s="190">
        <f>IF(O33=0,0,IF((Y33/O33)&gt;Z29,Y33-(O33*Z29),0))</f>
        <v>0</v>
      </c>
      <c r="AB33" s="214">
        <f>$AB$11</f>
        <v>4.8800000000000003E-2</v>
      </c>
      <c r="AC33" s="181">
        <f>$AC$11</f>
        <v>0</v>
      </c>
      <c r="AD33" s="181">
        <f>$AD$11</f>
        <v>0</v>
      </c>
      <c r="AE33" s="181">
        <f>IF($G$6&gt;$AB$4,0,IF($AB$5=3,0,AB33-AC33))</f>
        <v>4.8800000000000003E-2</v>
      </c>
      <c r="AF33" s="181">
        <f>IF($G$6&gt;$AB$4,0,IF($AB$5=3,0,AB33-AD33))</f>
        <v>4.8800000000000003E-2</v>
      </c>
      <c r="AG33" s="182">
        <f>Z33*AE33*AG29</f>
        <v>0</v>
      </c>
      <c r="AH33" s="182">
        <f>AA33*AF33*AG29</f>
        <v>0</v>
      </c>
      <c r="AI33" s="182">
        <f>AG33+AH33</f>
        <v>0</v>
      </c>
    </row>
    <row r="34" spans="1:35">
      <c r="A34" s="583" t="s">
        <v>173</v>
      </c>
      <c r="B34" s="1791" t="str">
        <f>IF(G33=0,"","Nach EEG ist für die geplante Anlage ein Mindesteigenverbrauch von "&amp;G28*100&amp;"% vorgeschrieben !")</f>
        <v/>
      </c>
      <c r="C34" s="1792"/>
      <c r="D34" s="1792"/>
      <c r="E34" s="1792"/>
      <c r="F34" s="1792"/>
      <c r="G34" s="1792"/>
      <c r="H34" s="1793"/>
      <c r="I34" s="595"/>
      <c r="J34" s="595"/>
      <c r="K34" s="1778"/>
      <c r="L34" s="1783">
        <f>$L$12</f>
        <v>1000</v>
      </c>
      <c r="M34" s="1783"/>
      <c r="N34" s="180">
        <f>$N$12</f>
        <v>0</v>
      </c>
      <c r="O34" s="190">
        <f>$O$12</f>
        <v>0</v>
      </c>
      <c r="P34" s="190">
        <f>P35*N34</f>
        <v>0</v>
      </c>
      <c r="Q34" s="214">
        <f>$Q$12</f>
        <v>4.3999999999999997E-2</v>
      </c>
      <c r="R34" s="210">
        <f>$R$12</f>
        <v>0.05</v>
      </c>
      <c r="S34" s="182">
        <f>P34*Q34*S29</f>
        <v>0</v>
      </c>
      <c r="T34" s="182">
        <f>P34*R34*T29</f>
        <v>0</v>
      </c>
      <c r="U34" s="182">
        <f>S34+T34</f>
        <v>0</v>
      </c>
      <c r="V34" s="184"/>
      <c r="W34" s="185" t="str">
        <f>M35</f>
        <v xml:space="preserve"> gesamt</v>
      </c>
      <c r="X34" s="186">
        <f>N35</f>
        <v>1</v>
      </c>
      <c r="Y34" s="195">
        <f>O35-P35</f>
        <v>0</v>
      </c>
      <c r="Z34" s="195">
        <f>SUM(Z31:Z33)</f>
        <v>0</v>
      </c>
      <c r="AA34" s="195">
        <f>SUM(AA31:AA33)</f>
        <v>0</v>
      </c>
      <c r="AB34" s="215"/>
      <c r="AC34" s="216"/>
      <c r="AD34" s="196"/>
      <c r="AE34" s="196"/>
      <c r="AF34" s="196"/>
      <c r="AG34" s="196">
        <f>SUM(AG31:AG33)</f>
        <v>0</v>
      </c>
      <c r="AH34" s="196">
        <f>SUM(AH31:AH33)</f>
        <v>0</v>
      </c>
      <c r="AI34" s="216">
        <f>SUM(AI31:AI33)</f>
        <v>0</v>
      </c>
    </row>
    <row r="35" spans="1:35">
      <c r="A35" s="583" t="s">
        <v>173</v>
      </c>
      <c r="B35" s="1791" t="str">
        <f>IF(G33=0,"","Achtung: Mindesteigenverbrauch = "&amp;G28*100&amp;"% !")</f>
        <v/>
      </c>
      <c r="C35" s="1792"/>
      <c r="D35" s="1792"/>
      <c r="E35" s="1792"/>
      <c r="F35" s="1792"/>
      <c r="G35" s="1792"/>
      <c r="H35" s="1793"/>
      <c r="I35" s="577"/>
      <c r="J35" s="577"/>
      <c r="K35" s="1778"/>
      <c r="L35" s="184"/>
      <c r="M35" s="185" t="s">
        <v>216</v>
      </c>
      <c r="N35" s="186">
        <f>SUM(N31:N34)</f>
        <v>1</v>
      </c>
      <c r="O35" s="195">
        <f>$O$13</f>
        <v>0</v>
      </c>
      <c r="P35" s="195">
        <f>O35*(1-K28)</f>
        <v>0</v>
      </c>
      <c r="Q35" s="215"/>
      <c r="R35" s="211"/>
      <c r="S35" s="196">
        <f>SUM(S31:S34)</f>
        <v>0</v>
      </c>
      <c r="T35" s="196">
        <f>SUM(T31:T34)</f>
        <v>0</v>
      </c>
      <c r="U35" s="196">
        <f>SUM(U31:U34)</f>
        <v>0</v>
      </c>
      <c r="V35" s="177"/>
      <c r="W35" s="178"/>
      <c r="X35" s="179"/>
      <c r="Y35" s="179"/>
      <c r="Z35" s="1784">
        <f>Z34+AA34</f>
        <v>0</v>
      </c>
      <c r="AA35" s="1785"/>
      <c r="AB35" s="197"/>
      <c r="AC35" s="197"/>
      <c r="AD35" s="177"/>
      <c r="AE35" s="177"/>
      <c r="AF35" s="177"/>
      <c r="AG35" s="1784">
        <f>AG34+AH34</f>
        <v>0</v>
      </c>
      <c r="AH35" s="1785"/>
      <c r="AI35" s="197"/>
    </row>
    <row r="36" spans="1:35">
      <c r="A36" s="583" t="s">
        <v>173</v>
      </c>
      <c r="B36" s="168" t="str">
        <f>"Herstellungskosten "&amp;Kalkulation_Eigenstrom!AP17&amp;""</f>
        <v>Herstellungskosten PV-Anlage (Module, AC &amp; DC-Kabel, etc.)</v>
      </c>
      <c r="C36" s="170"/>
      <c r="D36" s="170"/>
      <c r="E36" s="166"/>
      <c r="F36" s="166"/>
      <c r="G36" s="1798">
        <f>Kalkulation_Eigenstrom!AY17</f>
        <v>0</v>
      </c>
      <c r="H36" s="1799"/>
      <c r="I36" s="577"/>
      <c r="J36" s="577"/>
      <c r="K36" s="1779"/>
      <c r="L36" s="177"/>
      <c r="M36" s="178" t="s">
        <v>206</v>
      </c>
      <c r="N36" s="590"/>
      <c r="O36" s="179">
        <f>SUM(O31:O34)</f>
        <v>0</v>
      </c>
      <c r="P36" s="179">
        <f>SUM(P31:P34)</f>
        <v>0</v>
      </c>
      <c r="Q36" s="197"/>
      <c r="R36" s="197"/>
      <c r="S36" s="1784">
        <f>S35+T35</f>
        <v>0</v>
      </c>
      <c r="T36" s="1785"/>
      <c r="U36" s="225"/>
      <c r="V36" s="591"/>
      <c r="W36" s="577"/>
      <c r="X36" s="591"/>
      <c r="Y36" s="591"/>
      <c r="Z36" s="591"/>
      <c r="AA36" s="577"/>
      <c r="AB36" s="592">
        <f>IF(O35=0,0,Z34/O35)</f>
        <v>0</v>
      </c>
      <c r="AC36" s="592">
        <f>IF(O35=0,0,AA34/O35)</f>
        <v>0</v>
      </c>
      <c r="AD36" s="591"/>
      <c r="AE36" s="577"/>
      <c r="AF36" s="591"/>
      <c r="AG36" s="577"/>
      <c r="AH36" s="577"/>
      <c r="AI36" s="591"/>
    </row>
    <row r="37" spans="1:35">
      <c r="A37" s="583" t="s">
        <v>173</v>
      </c>
      <c r="B37" s="168" t="str">
        <f>"Herstellungskosten "&amp;Kalkulation_Eigenstrom!AP19&amp;""</f>
        <v>Herstellungskosten Wechselrichter</v>
      </c>
      <c r="C37" s="170"/>
      <c r="D37" s="170"/>
      <c r="E37" s="166"/>
      <c r="F37" s="166"/>
      <c r="G37" s="1798">
        <f>Kalkulation_Eigenstrom!AY19</f>
        <v>0</v>
      </c>
      <c r="H37" s="1799"/>
      <c r="I37" s="577"/>
      <c r="J37" s="577"/>
      <c r="K37" s="577"/>
      <c r="L37" s="198"/>
      <c r="M37" s="198"/>
      <c r="N37" s="199"/>
      <c r="O37" s="200"/>
      <c r="P37" s="201"/>
      <c r="Q37" s="202"/>
      <c r="R37" s="203"/>
      <c r="S37" s="204"/>
      <c r="T37" s="205"/>
      <c r="U37" s="206"/>
      <c r="V37" s="591"/>
      <c r="W37" s="577"/>
      <c r="X37" s="591"/>
      <c r="Y37" s="591"/>
      <c r="Z37" s="591"/>
      <c r="AA37" s="577"/>
      <c r="AB37" s="1775">
        <f>AB36+AC36</f>
        <v>0</v>
      </c>
      <c r="AC37" s="1776"/>
      <c r="AD37" s="593"/>
      <c r="AE37" s="577"/>
      <c r="AF37" s="591"/>
      <c r="AG37" s="577"/>
      <c r="AH37" s="577"/>
      <c r="AI37" s="577"/>
    </row>
    <row r="38" spans="1:35">
      <c r="A38" s="583" t="s">
        <v>173</v>
      </c>
      <c r="B38" s="168" t="str">
        <f>"Herstellungskosten "&amp;Kalkulation_Eigenstrom!AP21&amp;""</f>
        <v>Herstellungskosten Unterkonstruktion / Montagegestell</v>
      </c>
      <c r="C38" s="170"/>
      <c r="D38" s="170"/>
      <c r="E38" s="166"/>
      <c r="F38" s="166"/>
      <c r="G38" s="1798">
        <f>Kalkulation_Eigenstrom!AY21</f>
        <v>0</v>
      </c>
      <c r="H38" s="1799"/>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82"/>
      <c r="AH38" s="582"/>
      <c r="AI38" s="577"/>
    </row>
    <row r="39" spans="1:35">
      <c r="A39" s="583" t="s">
        <v>173</v>
      </c>
      <c r="B39" s="168" t="str">
        <f>"Herstellungskosten "&amp;Kalkulation_Eigenstrom!AP23&amp;""</f>
        <v>Herstellungskosten Sonstiges</v>
      </c>
      <c r="C39" s="170"/>
      <c r="D39" s="170"/>
      <c r="E39" s="166"/>
      <c r="F39" s="173"/>
      <c r="G39" s="1798">
        <f>Kalkulation_Eigenstrom!AY23</f>
        <v>0</v>
      </c>
      <c r="H39" s="1799"/>
      <c r="I39" s="577"/>
      <c r="J39" s="577"/>
      <c r="K39" s="1777">
        <v>0.1</v>
      </c>
      <c r="L39" s="217" t="s">
        <v>213</v>
      </c>
      <c r="M39" s="175"/>
      <c r="N39" s="175"/>
      <c r="O39" s="187" t="s">
        <v>119</v>
      </c>
      <c r="P39" s="188" t="s">
        <v>215</v>
      </c>
      <c r="Q39" s="212" t="s">
        <v>5</v>
      </c>
      <c r="R39" s="208" t="s">
        <v>225</v>
      </c>
      <c r="S39" s="194" t="s">
        <v>123</v>
      </c>
      <c r="T39" s="194" t="s">
        <v>123</v>
      </c>
      <c r="U39" s="194" t="s">
        <v>204</v>
      </c>
      <c r="V39" s="217" t="s">
        <v>222</v>
      </c>
      <c r="W39" s="175"/>
      <c r="X39" s="175"/>
      <c r="Y39" s="188" t="s">
        <v>205</v>
      </c>
      <c r="Z39" s="188" t="s">
        <v>205</v>
      </c>
      <c r="AA39" s="188" t="s">
        <v>205</v>
      </c>
      <c r="AB39" s="212" t="s">
        <v>224</v>
      </c>
      <c r="AC39" s="193" t="s">
        <v>226</v>
      </c>
      <c r="AD39" s="193" t="s">
        <v>226</v>
      </c>
      <c r="AE39" s="193" t="s">
        <v>5</v>
      </c>
      <c r="AF39" s="193" t="s">
        <v>5</v>
      </c>
      <c r="AG39" s="224" t="s">
        <v>123</v>
      </c>
      <c r="AH39" s="224" t="s">
        <v>123</v>
      </c>
      <c r="AI39" s="194" t="s">
        <v>204</v>
      </c>
    </row>
    <row r="40" spans="1:35">
      <c r="A40" s="583" t="s">
        <v>173</v>
      </c>
      <c r="B40" s="168" t="str">
        <f>"Herstellungskosten "&amp;Kalkulation_Eigenstrom!AP25&amp;""</f>
        <v xml:space="preserve">Herstellungskosten </v>
      </c>
      <c r="C40" s="170"/>
      <c r="D40" s="170"/>
      <c r="E40" s="166"/>
      <c r="F40" s="173"/>
      <c r="G40" s="1798">
        <f>Kalkulation_Eigenstrom!AY25</f>
        <v>0</v>
      </c>
      <c r="H40" s="1799"/>
      <c r="I40" s="577"/>
      <c r="J40" s="577"/>
      <c r="K40" s="1778"/>
      <c r="L40" s="175"/>
      <c r="M40" s="175"/>
      <c r="N40" s="176"/>
      <c r="O40" s="187" t="s">
        <v>204</v>
      </c>
      <c r="P40" s="189" t="s">
        <v>214</v>
      </c>
      <c r="Q40" s="584" t="str">
        <f>$Q$7</f>
        <v>0-20Jahre</v>
      </c>
      <c r="R40" s="585" t="str">
        <f>$R$7</f>
        <v>21-20 Jahre</v>
      </c>
      <c r="S40" s="586">
        <f>$S$7</f>
        <v>1</v>
      </c>
      <c r="T40" s="586">
        <f>$T$7</f>
        <v>0</v>
      </c>
      <c r="U40" s="587" t="str">
        <f>$U$7</f>
        <v>0-20 Jahre</v>
      </c>
      <c r="V40" s="175"/>
      <c r="W40" s="175"/>
      <c r="X40" s="176"/>
      <c r="Y40" s="191" t="s">
        <v>204</v>
      </c>
      <c r="Z40" s="219">
        <f>$Z$7</f>
        <v>0.3</v>
      </c>
      <c r="AA40" s="220">
        <f>Z40</f>
        <v>0.3</v>
      </c>
      <c r="AB40" s="584" t="str">
        <f>"0-"&amp;G113&amp;"Jahre"</f>
        <v>0-0Jahre</v>
      </c>
      <c r="AC40" s="588" t="str">
        <f>"bis "&amp;Z40*100&amp;"%"</f>
        <v>bis 30%</v>
      </c>
      <c r="AD40" s="588" t="str">
        <f>"über "&amp;AA40*100&amp;"%"</f>
        <v>über 30%</v>
      </c>
      <c r="AE40" s="588" t="str">
        <f>"bis "&amp;Z40*100&amp;"%"</f>
        <v>bis 30%</v>
      </c>
      <c r="AF40" s="588" t="str">
        <f>"über "&amp;AA40*100&amp;"%"</f>
        <v>über 30%</v>
      </c>
      <c r="AG40" s="1780">
        <f>$AG$7</f>
        <v>1</v>
      </c>
      <c r="AH40" s="1781"/>
      <c r="AI40" s="588" t="str">
        <f>$AI$7</f>
        <v>0-20 Jahre</v>
      </c>
    </row>
    <row r="41" spans="1:35">
      <c r="A41" s="583" t="s">
        <v>173</v>
      </c>
      <c r="B41" s="174" t="str">
        <f>Kalkulation_Eigenstrom!AP14</f>
        <v xml:space="preserve">PV-Anlage (Herstellungskosten) </v>
      </c>
      <c r="C41" s="170"/>
      <c r="D41" s="170"/>
      <c r="E41" s="166"/>
      <c r="F41" s="166"/>
      <c r="G41" s="1788">
        <f>SUM(G36:H40)</f>
        <v>0</v>
      </c>
      <c r="H41" s="1787"/>
      <c r="I41" s="577"/>
      <c r="J41" s="577"/>
      <c r="K41" s="1778"/>
      <c r="L41" s="175" t="str">
        <f>$L$8</f>
        <v>Dachanlage</v>
      </c>
      <c r="M41" s="175"/>
      <c r="N41" s="176" t="s">
        <v>104</v>
      </c>
      <c r="O41" s="187" t="s">
        <v>120</v>
      </c>
      <c r="P41" s="187" t="s">
        <v>120</v>
      </c>
      <c r="Q41" s="213" t="s">
        <v>122</v>
      </c>
      <c r="R41" s="209" t="s">
        <v>122</v>
      </c>
      <c r="S41" s="183" t="s">
        <v>124</v>
      </c>
      <c r="T41" s="183" t="s">
        <v>124</v>
      </c>
      <c r="U41" s="183" t="s">
        <v>124</v>
      </c>
      <c r="V41" s="223"/>
      <c r="W41" s="175"/>
      <c r="X41" s="176" t="str">
        <f>N41</f>
        <v>Anteile</v>
      </c>
      <c r="Y41" s="192" t="s">
        <v>120</v>
      </c>
      <c r="Z41" s="192" t="s">
        <v>120</v>
      </c>
      <c r="AA41" s="192" t="s">
        <v>120</v>
      </c>
      <c r="AB41" s="213" t="s">
        <v>122</v>
      </c>
      <c r="AC41" s="213" t="s">
        <v>122</v>
      </c>
      <c r="AD41" s="213" t="s">
        <v>122</v>
      </c>
      <c r="AE41" s="213" t="s">
        <v>122</v>
      </c>
      <c r="AF41" s="213" t="s">
        <v>122</v>
      </c>
      <c r="AG41" s="183" t="s">
        <v>124</v>
      </c>
      <c r="AH41" s="183" t="s">
        <v>124</v>
      </c>
      <c r="AI41" s="183" t="s">
        <v>124</v>
      </c>
    </row>
    <row r="42" spans="1:35">
      <c r="A42" s="583" t="s">
        <v>173</v>
      </c>
      <c r="B42" s="168" t="s">
        <v>207</v>
      </c>
      <c r="C42" s="170"/>
      <c r="D42" s="170"/>
      <c r="E42" s="166"/>
      <c r="F42" s="166"/>
      <c r="G42" s="1823">
        <f>IF(G6=0,0,G41/G6)</f>
        <v>0</v>
      </c>
      <c r="H42" s="1824"/>
      <c r="I42" s="577"/>
      <c r="J42" s="577"/>
      <c r="K42" s="1778"/>
      <c r="L42" s="1782">
        <f>$L$9</f>
        <v>10</v>
      </c>
      <c r="M42" s="1782"/>
      <c r="N42" s="180">
        <f>$N$9</f>
        <v>1</v>
      </c>
      <c r="O42" s="190">
        <f>$O$9</f>
        <v>0</v>
      </c>
      <c r="P42" s="190">
        <f>P46*N42</f>
        <v>0</v>
      </c>
      <c r="Q42" s="214">
        <f>$Q$9</f>
        <v>6.4299999999999996E-2</v>
      </c>
      <c r="R42" s="210">
        <f>$R$9</f>
        <v>0.05</v>
      </c>
      <c r="S42" s="182">
        <f>P42*Q42*S40</f>
        <v>0</v>
      </c>
      <c r="T42" s="182">
        <f>P42*R42*T40</f>
        <v>0</v>
      </c>
      <c r="U42" s="182">
        <f>S42+T42</f>
        <v>0</v>
      </c>
      <c r="V42" s="228" t="s">
        <v>238</v>
      </c>
      <c r="W42" s="229">
        <f>L42</f>
        <v>10</v>
      </c>
      <c r="X42" s="180">
        <f>N42</f>
        <v>1</v>
      </c>
      <c r="Y42" s="190">
        <f>Y45*N42</f>
        <v>0</v>
      </c>
      <c r="Z42" s="190">
        <f>IF(O42=0,0,IF((Y42/O42)&gt;Z40,O42*Z40,Y42))</f>
        <v>0</v>
      </c>
      <c r="AA42" s="190">
        <f>IF(O42=0,0,IF((Y42/O42)&gt;Z40,Y42-(O42*Z40),0))</f>
        <v>0</v>
      </c>
      <c r="AB42" s="214">
        <f>$AB$9</f>
        <v>6.4299999999999996E-2</v>
      </c>
      <c r="AC42" s="181">
        <f>$AC$9</f>
        <v>0</v>
      </c>
      <c r="AD42" s="181">
        <f>$AD$9</f>
        <v>0</v>
      </c>
      <c r="AE42" s="181">
        <f>IF($G$6&gt;$AB$4,0,IF($AB$5=3,0,AB42-AC42))</f>
        <v>6.4299999999999996E-2</v>
      </c>
      <c r="AF42" s="181">
        <f>IF($G$6&gt;$AB$4,0,IF($AB$5=3,0,AB42-AD42))</f>
        <v>6.4299999999999996E-2</v>
      </c>
      <c r="AG42" s="182">
        <f>Z42*AE42*AG40</f>
        <v>0</v>
      </c>
      <c r="AH42" s="182">
        <f>AA42*AF42*AG40</f>
        <v>0</v>
      </c>
      <c r="AI42" s="182">
        <f>AG42+AH42</f>
        <v>0</v>
      </c>
    </row>
    <row r="43" spans="1:35">
      <c r="A43" s="583" t="s">
        <v>173</v>
      </c>
      <c r="B43" s="174" t="str">
        <f>Kalkulation_Eigenstrom!AP43</f>
        <v>AfA: PV-Anlage (Module, AC &amp; DC-Kabel, etc.)</v>
      </c>
      <c r="C43" s="170"/>
      <c r="D43" s="170"/>
      <c r="E43" s="166"/>
      <c r="F43" s="589">
        <f>Kalkulation_Eigenstrom!AN43</f>
        <v>20</v>
      </c>
      <c r="G43" s="1788">
        <f>IF(F43=0,0,G36/F43)</f>
        <v>0</v>
      </c>
      <c r="H43" s="1787"/>
      <c r="I43" s="577"/>
      <c r="J43" s="577"/>
      <c r="K43" s="1778"/>
      <c r="L43" s="1782">
        <f>$L$10</f>
        <v>40</v>
      </c>
      <c r="M43" s="1782"/>
      <c r="N43" s="180">
        <f>$N$10</f>
        <v>0</v>
      </c>
      <c r="O43" s="190">
        <f>$O$10</f>
        <v>0</v>
      </c>
      <c r="P43" s="190">
        <f>P46*N43</f>
        <v>0</v>
      </c>
      <c r="Q43" s="214">
        <f>$Q$10</f>
        <v>6.25E-2</v>
      </c>
      <c r="R43" s="210">
        <f>$R$10</f>
        <v>0.05</v>
      </c>
      <c r="S43" s="182">
        <f>P43*Q43*S40</f>
        <v>0</v>
      </c>
      <c r="T43" s="182">
        <f>P43*R43*T40</f>
        <v>0</v>
      </c>
      <c r="U43" s="182">
        <f>S43+T43</f>
        <v>0</v>
      </c>
      <c r="V43" s="228" t="s">
        <v>238</v>
      </c>
      <c r="W43" s="229">
        <f>L43</f>
        <v>40</v>
      </c>
      <c r="X43" s="180">
        <f>N43</f>
        <v>0</v>
      </c>
      <c r="Y43" s="190">
        <f>Y45*N43</f>
        <v>0</v>
      </c>
      <c r="Z43" s="190">
        <f>IF(O43=0,0,IF((Y43/O43)&gt;Z40,O43*Z40,Y43))</f>
        <v>0</v>
      </c>
      <c r="AA43" s="190">
        <f>IF(O43=0,0,IF((Y43/O43)&gt;Z40,Y43-(O43*Z40),0))</f>
        <v>0</v>
      </c>
      <c r="AB43" s="214">
        <f>$AB$10</f>
        <v>6.25E-2</v>
      </c>
      <c r="AC43" s="181">
        <f>$AC$10</f>
        <v>0</v>
      </c>
      <c r="AD43" s="181">
        <f>$AD$10</f>
        <v>0</v>
      </c>
      <c r="AE43" s="181">
        <f>IF($G$6&gt;$AB$4,0,IF($AB$5=3,0,AB43-AC43))</f>
        <v>6.25E-2</v>
      </c>
      <c r="AF43" s="181">
        <f>IF($G$6&gt;$AB$4,0,IF($AB$5=3,0,AB43-AD43))</f>
        <v>6.25E-2</v>
      </c>
      <c r="AG43" s="182">
        <f>Z43*AE43*AG40</f>
        <v>0</v>
      </c>
      <c r="AH43" s="182">
        <f>AA43*AF43*AG40</f>
        <v>0</v>
      </c>
      <c r="AI43" s="182">
        <f>AG43+AH43</f>
        <v>0</v>
      </c>
    </row>
    <row r="44" spans="1:35">
      <c r="A44" s="583" t="s">
        <v>173</v>
      </c>
      <c r="B44" s="174" t="str">
        <f>Kalkulation_Eigenstrom!AP45</f>
        <v>AfA: Wechselrichter</v>
      </c>
      <c r="C44" s="170"/>
      <c r="D44" s="170"/>
      <c r="E44" s="166"/>
      <c r="F44" s="589">
        <f>Kalkulation_Eigenstrom!AW45</f>
        <v>10</v>
      </c>
      <c r="G44" s="1788">
        <f>IF(F44=0,0,G37/F44)</f>
        <v>0</v>
      </c>
      <c r="H44" s="1787"/>
      <c r="I44" s="577"/>
      <c r="J44" s="577"/>
      <c r="K44" s="1778"/>
      <c r="L44" s="1782">
        <f>$L$11</f>
        <v>1000</v>
      </c>
      <c r="M44" s="1782"/>
      <c r="N44" s="180">
        <f>$N$11</f>
        <v>0</v>
      </c>
      <c r="O44" s="190">
        <f>$O$11</f>
        <v>0</v>
      </c>
      <c r="P44" s="190">
        <f>P46*N44</f>
        <v>0</v>
      </c>
      <c r="Q44" s="214">
        <f>$Q$11</f>
        <v>4.8800000000000003E-2</v>
      </c>
      <c r="R44" s="210">
        <f>$R$11</f>
        <v>0.05</v>
      </c>
      <c r="S44" s="182">
        <f>P44*Q44*S40</f>
        <v>0</v>
      </c>
      <c r="T44" s="182">
        <f>P44*R44*T40</f>
        <v>0</v>
      </c>
      <c r="U44" s="182">
        <f>S44+T44</f>
        <v>0</v>
      </c>
      <c r="V44" s="228" t="s">
        <v>238</v>
      </c>
      <c r="W44" s="230">
        <v>500</v>
      </c>
      <c r="X44" s="180">
        <f>N44</f>
        <v>0</v>
      </c>
      <c r="Y44" s="190">
        <f>Y45*N44</f>
        <v>0</v>
      </c>
      <c r="Z44" s="190">
        <f>IF(O44=0,0,IF((Y44/O44)&gt;Z40,O44*Z40,Y44))</f>
        <v>0</v>
      </c>
      <c r="AA44" s="190">
        <f>IF(O44=0,0,IF((Y44/O44)&gt;Z40,Y44-(O44*Z40),0))</f>
        <v>0</v>
      </c>
      <c r="AB44" s="214">
        <f>$AB$11</f>
        <v>4.8800000000000003E-2</v>
      </c>
      <c r="AC44" s="181">
        <f>$AC$11</f>
        <v>0</v>
      </c>
      <c r="AD44" s="181">
        <f>$AD$11</f>
        <v>0</v>
      </c>
      <c r="AE44" s="181">
        <f>IF($G$6&gt;$AB$4,0,IF($AB$5=3,0,AB44-AC44))</f>
        <v>4.8800000000000003E-2</v>
      </c>
      <c r="AF44" s="181">
        <f>IF($G$6&gt;$AB$4,0,IF($AB$5=3,0,AB44-AD44))</f>
        <v>4.8800000000000003E-2</v>
      </c>
      <c r="AG44" s="182">
        <f>Z44*AE44*AG40</f>
        <v>0</v>
      </c>
      <c r="AH44" s="182">
        <f>AA44*AF44*AG40</f>
        <v>0</v>
      </c>
      <c r="AI44" s="182">
        <f>AG44+AH44</f>
        <v>0</v>
      </c>
    </row>
    <row r="45" spans="1:35">
      <c r="A45" s="583" t="s">
        <v>173</v>
      </c>
      <c r="B45" s="174" t="str">
        <f>Kalkulation_Eigenstrom!AP47</f>
        <v>AfA: Unterkonstruktion / Montagegestell</v>
      </c>
      <c r="C45" s="170"/>
      <c r="D45" s="170"/>
      <c r="E45" s="166"/>
      <c r="F45" s="589">
        <f>Kalkulation_Eigenstrom!AW47</f>
        <v>50</v>
      </c>
      <c r="G45" s="1788">
        <f>IF(F45=0,0,G38/F45)</f>
        <v>0</v>
      </c>
      <c r="H45" s="1787"/>
      <c r="I45" s="577"/>
      <c r="J45" s="577"/>
      <c r="K45" s="1778"/>
      <c r="L45" s="1783">
        <f>$L$12</f>
        <v>1000</v>
      </c>
      <c r="M45" s="1783"/>
      <c r="N45" s="180">
        <f>$N$12</f>
        <v>0</v>
      </c>
      <c r="O45" s="190">
        <f>$O$12</f>
        <v>0</v>
      </c>
      <c r="P45" s="190">
        <f>P46*N45</f>
        <v>0</v>
      </c>
      <c r="Q45" s="214">
        <f>$Q$12</f>
        <v>4.3999999999999997E-2</v>
      </c>
      <c r="R45" s="210">
        <f>$R$12</f>
        <v>0.05</v>
      </c>
      <c r="S45" s="182">
        <f>P45*Q45*S40</f>
        <v>0</v>
      </c>
      <c r="T45" s="182">
        <f>P45*R45*T40</f>
        <v>0</v>
      </c>
      <c r="U45" s="182">
        <f>S45+T45</f>
        <v>0</v>
      </c>
      <c r="V45" s="184"/>
      <c r="W45" s="185" t="str">
        <f>M46</f>
        <v xml:space="preserve"> gesamt</v>
      </c>
      <c r="X45" s="186">
        <f>N46</f>
        <v>1</v>
      </c>
      <c r="Y45" s="195">
        <f>O46-P46</f>
        <v>0</v>
      </c>
      <c r="Z45" s="195">
        <f>SUM(Z42:Z44)</f>
        <v>0</v>
      </c>
      <c r="AA45" s="195">
        <f>SUM(AA42:AA44)</f>
        <v>0</v>
      </c>
      <c r="AB45" s="215"/>
      <c r="AC45" s="216"/>
      <c r="AD45" s="196"/>
      <c r="AE45" s="196"/>
      <c r="AF45" s="196"/>
      <c r="AG45" s="196">
        <f>SUM(AG42:AG44)</f>
        <v>0</v>
      </c>
      <c r="AH45" s="196">
        <f>SUM(AH42:AH44)</f>
        <v>0</v>
      </c>
      <c r="AI45" s="216">
        <f>SUM(AI42:AI44)</f>
        <v>0</v>
      </c>
    </row>
    <row r="46" spans="1:35">
      <c r="A46" s="583" t="s">
        <v>173</v>
      </c>
      <c r="B46" s="174" t="str">
        <f>Kalkulation_Eigenstrom!AP49</f>
        <v>AfA: Sonstiges</v>
      </c>
      <c r="C46" s="170"/>
      <c r="D46" s="170"/>
      <c r="E46" s="166"/>
      <c r="F46" s="589">
        <f>Kalkulation_Eigenstrom!AW49</f>
        <v>20</v>
      </c>
      <c r="G46" s="1788">
        <f>IF(F46=0,0,G39/F46)</f>
        <v>0</v>
      </c>
      <c r="H46" s="1787"/>
      <c r="I46" s="577"/>
      <c r="J46" s="577"/>
      <c r="K46" s="1778"/>
      <c r="L46" s="184"/>
      <c r="M46" s="185" t="s">
        <v>216</v>
      </c>
      <c r="N46" s="186">
        <f>SUM(N42:N45)</f>
        <v>1</v>
      </c>
      <c r="O46" s="195">
        <f>$O$13</f>
        <v>0</v>
      </c>
      <c r="P46" s="195">
        <f>O46*(1-K39)</f>
        <v>0</v>
      </c>
      <c r="Q46" s="215"/>
      <c r="R46" s="211"/>
      <c r="S46" s="196">
        <f>SUM(S42:S45)</f>
        <v>0</v>
      </c>
      <c r="T46" s="196">
        <f>SUM(T42:T45)</f>
        <v>0</v>
      </c>
      <c r="U46" s="196">
        <f>SUM(U42:U45)</f>
        <v>0</v>
      </c>
      <c r="V46" s="177"/>
      <c r="W46" s="178"/>
      <c r="X46" s="179"/>
      <c r="Y46" s="179"/>
      <c r="Z46" s="1784">
        <f>Z45+AA45</f>
        <v>0</v>
      </c>
      <c r="AA46" s="1785"/>
      <c r="AB46" s="197"/>
      <c r="AC46" s="197"/>
      <c r="AD46" s="177"/>
      <c r="AE46" s="177"/>
      <c r="AF46" s="177"/>
      <c r="AG46" s="1784">
        <f>AG45+AH45</f>
        <v>0</v>
      </c>
      <c r="AH46" s="1785"/>
      <c r="AI46" s="197"/>
    </row>
    <row r="47" spans="1:35">
      <c r="A47" s="583" t="s">
        <v>173</v>
      </c>
      <c r="B47" s="174" t="str">
        <f>Kalkulation_Eigenstrom!AP51</f>
        <v xml:space="preserve">AfA: </v>
      </c>
      <c r="C47" s="170"/>
      <c r="D47" s="170"/>
      <c r="E47" s="166"/>
      <c r="F47" s="589">
        <f>Kalkulation_Eigenstrom!AW51</f>
        <v>20</v>
      </c>
      <c r="G47" s="1788">
        <f>IF(F47=0,0,G40/F47)</f>
        <v>0</v>
      </c>
      <c r="H47" s="1787"/>
      <c r="I47" s="577"/>
      <c r="J47" s="577"/>
      <c r="K47" s="1779"/>
      <c r="L47" s="177"/>
      <c r="M47" s="178" t="s">
        <v>206</v>
      </c>
      <c r="N47" s="590"/>
      <c r="O47" s="179">
        <f>SUM(O42:O45)</f>
        <v>0</v>
      </c>
      <c r="P47" s="179">
        <f>SUM(P42:P45)</f>
        <v>0</v>
      </c>
      <c r="Q47" s="197"/>
      <c r="R47" s="197"/>
      <c r="S47" s="1784">
        <f>S46+T46</f>
        <v>0</v>
      </c>
      <c r="T47" s="1785"/>
      <c r="U47" s="225"/>
      <c r="V47" s="591"/>
      <c r="W47" s="577"/>
      <c r="X47" s="591"/>
      <c r="Y47" s="591"/>
      <c r="Z47" s="591"/>
      <c r="AA47" s="577"/>
      <c r="AB47" s="592">
        <f>IF(O46=0,0,Z45/O46)</f>
        <v>0</v>
      </c>
      <c r="AC47" s="592">
        <f>IF(O46=0,0,AA45/O46)</f>
        <v>0</v>
      </c>
      <c r="AD47" s="591"/>
      <c r="AE47" s="577"/>
      <c r="AF47" s="591"/>
      <c r="AG47" s="577"/>
      <c r="AH47" s="577"/>
      <c r="AI47" s="591"/>
    </row>
    <row r="48" spans="1:35">
      <c r="A48" s="583" t="s">
        <v>173</v>
      </c>
      <c r="B48" s="168" t="s">
        <v>210</v>
      </c>
      <c r="C48" s="170"/>
      <c r="D48" s="170"/>
      <c r="E48" s="166"/>
      <c r="F48" s="166"/>
      <c r="G48" s="1788">
        <f>G43+G44+G45+G46+G47</f>
        <v>0</v>
      </c>
      <c r="H48" s="1787"/>
      <c r="I48" s="577"/>
      <c r="J48" s="577"/>
      <c r="K48" s="577"/>
      <c r="L48" s="198"/>
      <c r="M48" s="198"/>
      <c r="N48" s="199"/>
      <c r="O48" s="200"/>
      <c r="P48" s="201"/>
      <c r="Q48" s="202"/>
      <c r="R48" s="203"/>
      <c r="S48" s="204"/>
      <c r="T48" s="205"/>
      <c r="U48" s="206"/>
      <c r="V48" s="591"/>
      <c r="W48" s="577"/>
      <c r="X48" s="591"/>
      <c r="Y48" s="591"/>
      <c r="Z48" s="591"/>
      <c r="AA48" s="577"/>
      <c r="AB48" s="1775">
        <f>AB47+AC47</f>
        <v>0</v>
      </c>
      <c r="AC48" s="1776"/>
      <c r="AD48" s="593"/>
      <c r="AE48" s="577"/>
      <c r="AF48" s="591"/>
      <c r="AG48" s="577"/>
      <c r="AH48" s="577"/>
      <c r="AI48" s="577"/>
    </row>
    <row r="49" spans="1:35">
      <c r="A49" s="583" t="s">
        <v>173</v>
      </c>
      <c r="B49" s="174" t="str">
        <f>"Herstellungskosten "&amp;Kalkulation_Eigenstrom!AP29&amp;""</f>
        <v xml:space="preserve">Herstellungskosten </v>
      </c>
      <c r="C49" s="170"/>
      <c r="D49" s="170"/>
      <c r="E49" s="166"/>
      <c r="F49" s="166"/>
      <c r="G49" s="1798">
        <f>Kalkulation_Eigenstrom!AY29</f>
        <v>0</v>
      </c>
      <c r="H49" s="1799"/>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82"/>
      <c r="AH49" s="582"/>
      <c r="AI49" s="577"/>
    </row>
    <row r="50" spans="1:35">
      <c r="A50" s="583" t="s">
        <v>173</v>
      </c>
      <c r="B50" s="174" t="str">
        <f>"Herstellungskosten "&amp;Kalkulation_Eigenstrom!AP31&amp;""</f>
        <v xml:space="preserve">Herstellungskosten </v>
      </c>
      <c r="C50" s="170"/>
      <c r="D50" s="170"/>
      <c r="E50" s="166"/>
      <c r="F50" s="166"/>
      <c r="G50" s="1798">
        <f>Kalkulation_Eigenstrom!AY31</f>
        <v>0</v>
      </c>
      <c r="H50" s="1799"/>
      <c r="I50" s="577"/>
      <c r="J50" s="577"/>
      <c r="K50" s="1777">
        <v>0.2</v>
      </c>
      <c r="L50" s="217" t="s">
        <v>213</v>
      </c>
      <c r="M50" s="175"/>
      <c r="N50" s="175"/>
      <c r="O50" s="187" t="s">
        <v>119</v>
      </c>
      <c r="P50" s="188" t="s">
        <v>215</v>
      </c>
      <c r="Q50" s="212" t="s">
        <v>5</v>
      </c>
      <c r="R50" s="208" t="s">
        <v>225</v>
      </c>
      <c r="S50" s="194" t="s">
        <v>123</v>
      </c>
      <c r="T50" s="194" t="s">
        <v>123</v>
      </c>
      <c r="U50" s="194" t="s">
        <v>204</v>
      </c>
      <c r="V50" s="217" t="s">
        <v>222</v>
      </c>
      <c r="W50" s="175"/>
      <c r="X50" s="175"/>
      <c r="Y50" s="188" t="s">
        <v>205</v>
      </c>
      <c r="Z50" s="188" t="s">
        <v>205</v>
      </c>
      <c r="AA50" s="188" t="s">
        <v>205</v>
      </c>
      <c r="AB50" s="212" t="s">
        <v>224</v>
      </c>
      <c r="AC50" s="193" t="s">
        <v>226</v>
      </c>
      <c r="AD50" s="193" t="s">
        <v>226</v>
      </c>
      <c r="AE50" s="193" t="s">
        <v>5</v>
      </c>
      <c r="AF50" s="193" t="s">
        <v>5</v>
      </c>
      <c r="AG50" s="224" t="s">
        <v>123</v>
      </c>
      <c r="AH50" s="224" t="s">
        <v>123</v>
      </c>
      <c r="AI50" s="194" t="s">
        <v>204</v>
      </c>
    </row>
    <row r="51" spans="1:35">
      <c r="A51" s="583" t="s">
        <v>173</v>
      </c>
      <c r="B51" s="174" t="str">
        <f>"Herstellungskosten "&amp;Kalkulation_Eigenstrom!AP33&amp;""</f>
        <v xml:space="preserve">Herstellungskosten </v>
      </c>
      <c r="C51" s="170"/>
      <c r="D51" s="170"/>
      <c r="E51" s="166"/>
      <c r="F51" s="166"/>
      <c r="G51" s="1798">
        <f>Kalkulation_Eigenstrom!AY33</f>
        <v>0</v>
      </c>
      <c r="H51" s="1799"/>
      <c r="I51" s="577"/>
      <c r="J51" s="577"/>
      <c r="K51" s="1778"/>
      <c r="L51" s="175"/>
      <c r="M51" s="175"/>
      <c r="N51" s="176"/>
      <c r="O51" s="187" t="s">
        <v>204</v>
      </c>
      <c r="P51" s="189" t="s">
        <v>214</v>
      </c>
      <c r="Q51" s="584" t="str">
        <f>$Q$7</f>
        <v>0-20Jahre</v>
      </c>
      <c r="R51" s="585" t="str">
        <f>$R$7</f>
        <v>21-20 Jahre</v>
      </c>
      <c r="S51" s="586">
        <f>$S$7</f>
        <v>1</v>
      </c>
      <c r="T51" s="586">
        <f>$T$7</f>
        <v>0</v>
      </c>
      <c r="U51" s="587" t="str">
        <f>$U$7</f>
        <v>0-20 Jahre</v>
      </c>
      <c r="V51" s="175"/>
      <c r="W51" s="175"/>
      <c r="X51" s="176"/>
      <c r="Y51" s="191" t="s">
        <v>204</v>
      </c>
      <c r="Z51" s="219">
        <f>$Z$7</f>
        <v>0.3</v>
      </c>
      <c r="AA51" s="220">
        <f>Z51</f>
        <v>0.3</v>
      </c>
      <c r="AB51" s="584" t="str">
        <f>"0-"&amp;G134&amp;"Jahre"</f>
        <v>0-Jahre</v>
      </c>
      <c r="AC51" s="588" t="str">
        <f>"bis "&amp;Z51*100&amp;"%"</f>
        <v>bis 30%</v>
      </c>
      <c r="AD51" s="588" t="str">
        <f>"über "&amp;AA51*100&amp;"%"</f>
        <v>über 30%</v>
      </c>
      <c r="AE51" s="588" t="str">
        <f>"bis "&amp;Z51*100&amp;"%"</f>
        <v>bis 30%</v>
      </c>
      <c r="AF51" s="588" t="str">
        <f>"über "&amp;AA51*100&amp;"%"</f>
        <v>über 30%</v>
      </c>
      <c r="AG51" s="1780">
        <f>$AG$7</f>
        <v>1</v>
      </c>
      <c r="AH51" s="1781"/>
      <c r="AI51" s="588" t="str">
        <f>$AI$7</f>
        <v>0-20 Jahre</v>
      </c>
    </row>
    <row r="52" spans="1:35">
      <c r="A52" s="583" t="s">
        <v>173</v>
      </c>
      <c r="B52" s="174" t="str">
        <f>Kalkulation_Eigenstrom!AP26</f>
        <v xml:space="preserve">Sonstiges (Herstellungskosten) </v>
      </c>
      <c r="C52" s="170"/>
      <c r="D52" s="170"/>
      <c r="E52" s="166"/>
      <c r="F52" s="166"/>
      <c r="G52" s="1788">
        <f>G49+G50+G51</f>
        <v>0</v>
      </c>
      <c r="H52" s="1787"/>
      <c r="I52" s="577"/>
      <c r="J52" s="577"/>
      <c r="K52" s="1778"/>
      <c r="L52" s="175" t="str">
        <f>$L$8</f>
        <v>Dachanlage</v>
      </c>
      <c r="M52" s="175"/>
      <c r="N52" s="176" t="s">
        <v>104</v>
      </c>
      <c r="O52" s="187" t="s">
        <v>120</v>
      </c>
      <c r="P52" s="187" t="s">
        <v>120</v>
      </c>
      <c r="Q52" s="213" t="s">
        <v>122</v>
      </c>
      <c r="R52" s="209" t="s">
        <v>122</v>
      </c>
      <c r="S52" s="183" t="s">
        <v>124</v>
      </c>
      <c r="T52" s="183" t="s">
        <v>124</v>
      </c>
      <c r="U52" s="183" t="s">
        <v>124</v>
      </c>
      <c r="V52" s="223"/>
      <c r="W52" s="175"/>
      <c r="X52" s="176" t="str">
        <f>N52</f>
        <v>Anteile</v>
      </c>
      <c r="Y52" s="192" t="s">
        <v>120</v>
      </c>
      <c r="Z52" s="192" t="s">
        <v>120</v>
      </c>
      <c r="AA52" s="192" t="s">
        <v>120</v>
      </c>
      <c r="AB52" s="213" t="s">
        <v>122</v>
      </c>
      <c r="AC52" s="213" t="s">
        <v>122</v>
      </c>
      <c r="AD52" s="213" t="s">
        <v>122</v>
      </c>
      <c r="AE52" s="213" t="s">
        <v>122</v>
      </c>
      <c r="AF52" s="213" t="s">
        <v>122</v>
      </c>
      <c r="AG52" s="183" t="s">
        <v>124</v>
      </c>
      <c r="AH52" s="183" t="s">
        <v>124</v>
      </c>
      <c r="AI52" s="183" t="s">
        <v>124</v>
      </c>
    </row>
    <row r="53" spans="1:35">
      <c r="A53" s="583" t="s">
        <v>173</v>
      </c>
      <c r="B53" s="174" t="str">
        <f>Kalkulation_Eigenstrom!AP53</f>
        <v xml:space="preserve">AfA: </v>
      </c>
      <c r="C53" s="170"/>
      <c r="D53" s="170"/>
      <c r="E53" s="166"/>
      <c r="F53" s="589">
        <f>Kalkulation_Eigenstrom!AW53</f>
        <v>20</v>
      </c>
      <c r="G53" s="1788">
        <f>IF(F53=0,0,G49/F53)</f>
        <v>0</v>
      </c>
      <c r="H53" s="1787"/>
      <c r="I53" s="596"/>
      <c r="J53" s="596"/>
      <c r="K53" s="1778"/>
      <c r="L53" s="1782">
        <f>$L$9</f>
        <v>10</v>
      </c>
      <c r="M53" s="1782"/>
      <c r="N53" s="180">
        <f>$N$9</f>
        <v>1</v>
      </c>
      <c r="O53" s="190">
        <f>$O$9</f>
        <v>0</v>
      </c>
      <c r="P53" s="190">
        <f>P57*N53</f>
        <v>0</v>
      </c>
      <c r="Q53" s="214">
        <f>$Q$9</f>
        <v>6.4299999999999996E-2</v>
      </c>
      <c r="R53" s="210">
        <f>$R$9</f>
        <v>0.05</v>
      </c>
      <c r="S53" s="182">
        <f>P53*Q53*S51</f>
        <v>0</v>
      </c>
      <c r="T53" s="182">
        <f>P53*R53*T51</f>
        <v>0</v>
      </c>
      <c r="U53" s="182">
        <f>S53+T53</f>
        <v>0</v>
      </c>
      <c r="V53" s="228" t="s">
        <v>238</v>
      </c>
      <c r="W53" s="229">
        <f>L53</f>
        <v>10</v>
      </c>
      <c r="X53" s="180">
        <f>N53</f>
        <v>1</v>
      </c>
      <c r="Y53" s="190">
        <f>Y56*N53</f>
        <v>0</v>
      </c>
      <c r="Z53" s="190">
        <f>IF(O53=0,0,IF((Y53/O53)&gt;Z51,O53*Z51,Y53))</f>
        <v>0</v>
      </c>
      <c r="AA53" s="190">
        <f>IF(O53=0,0,IF((Y53/O53)&gt;Z51,Y53-(O53*Z51),0))</f>
        <v>0</v>
      </c>
      <c r="AB53" s="214">
        <f>$AB$9</f>
        <v>6.4299999999999996E-2</v>
      </c>
      <c r="AC53" s="181">
        <f>$AC$9</f>
        <v>0</v>
      </c>
      <c r="AD53" s="181">
        <f>$AD$9</f>
        <v>0</v>
      </c>
      <c r="AE53" s="181">
        <f>IF($G$6&gt;$AB$4,0,IF($AB$5=3,0,AB53-AC53))</f>
        <v>6.4299999999999996E-2</v>
      </c>
      <c r="AF53" s="181">
        <f>IF($G$6&gt;$AB$4,0,IF($AB$5=3,0,AB53-AD53))</f>
        <v>6.4299999999999996E-2</v>
      </c>
      <c r="AG53" s="182">
        <f>Z53*AE53*AG51</f>
        <v>0</v>
      </c>
      <c r="AH53" s="182">
        <f>AA53*AF53*AG51</f>
        <v>0</v>
      </c>
      <c r="AI53" s="182">
        <f>AG53+AH53</f>
        <v>0</v>
      </c>
    </row>
    <row r="54" spans="1:35">
      <c r="A54" s="583" t="s">
        <v>173</v>
      </c>
      <c r="B54" s="174" t="str">
        <f>Kalkulation_Eigenstrom!AP55</f>
        <v xml:space="preserve">AfA: </v>
      </c>
      <c r="C54" s="170"/>
      <c r="D54" s="170"/>
      <c r="E54" s="166"/>
      <c r="F54" s="589">
        <f>Kalkulation_Eigenstrom!AW55</f>
        <v>20</v>
      </c>
      <c r="G54" s="1788">
        <f>IF(F54=0,0,G50/F54)</f>
        <v>0</v>
      </c>
      <c r="H54" s="1787"/>
      <c r="I54" s="577"/>
      <c r="J54" s="577"/>
      <c r="K54" s="1778"/>
      <c r="L54" s="1782">
        <f>$L$10</f>
        <v>40</v>
      </c>
      <c r="M54" s="1782"/>
      <c r="N54" s="180">
        <f>$N$10</f>
        <v>0</v>
      </c>
      <c r="O54" s="190">
        <f>$O$10</f>
        <v>0</v>
      </c>
      <c r="P54" s="190">
        <f>P57*N54</f>
        <v>0</v>
      </c>
      <c r="Q54" s="214">
        <f>$Q$10</f>
        <v>6.25E-2</v>
      </c>
      <c r="R54" s="210">
        <f>$R$10</f>
        <v>0.05</v>
      </c>
      <c r="S54" s="182">
        <f>P54*Q54*S51</f>
        <v>0</v>
      </c>
      <c r="T54" s="182">
        <f>P54*R54*T51</f>
        <v>0</v>
      </c>
      <c r="U54" s="182">
        <f>S54+T54</f>
        <v>0</v>
      </c>
      <c r="V54" s="228" t="s">
        <v>238</v>
      </c>
      <c r="W54" s="229">
        <f>L54</f>
        <v>40</v>
      </c>
      <c r="X54" s="180">
        <f>N54</f>
        <v>0</v>
      </c>
      <c r="Y54" s="190">
        <f>Y56*N54</f>
        <v>0</v>
      </c>
      <c r="Z54" s="190">
        <f>IF(O54=0,0,IF((Y54/O54)&gt;Z51,O54*Z51,Y54))</f>
        <v>0</v>
      </c>
      <c r="AA54" s="190">
        <f>IF(O54=0,0,IF((Y54/O54)&gt;Z51,Y54-(O54*Z51),0))</f>
        <v>0</v>
      </c>
      <c r="AB54" s="214">
        <f>$AB$10</f>
        <v>6.25E-2</v>
      </c>
      <c r="AC54" s="181">
        <f>$AC$10</f>
        <v>0</v>
      </c>
      <c r="AD54" s="181">
        <f>$AD$10</f>
        <v>0</v>
      </c>
      <c r="AE54" s="181">
        <f>IF($G$6&gt;$AB$4,0,IF($AB$5=3,0,AB54-AC54))</f>
        <v>6.25E-2</v>
      </c>
      <c r="AF54" s="181">
        <f>IF($G$6&gt;$AB$4,0,IF($AB$5=3,0,AB54-AD54))</f>
        <v>6.25E-2</v>
      </c>
      <c r="AG54" s="182">
        <f>Z54*AE54*AG51</f>
        <v>0</v>
      </c>
      <c r="AH54" s="182">
        <f>AA54*AF54*AG51</f>
        <v>0</v>
      </c>
      <c r="AI54" s="182">
        <f>AG54+AH54</f>
        <v>0</v>
      </c>
    </row>
    <row r="55" spans="1:35">
      <c r="A55" s="583" t="s">
        <v>173</v>
      </c>
      <c r="B55" s="174" t="str">
        <f>Kalkulation_Eigenstrom!AP57</f>
        <v xml:space="preserve">AfA: </v>
      </c>
      <c r="C55" s="170"/>
      <c r="D55" s="170"/>
      <c r="E55" s="166"/>
      <c r="F55" s="589">
        <f>Kalkulation_Eigenstrom!AW57</f>
        <v>10</v>
      </c>
      <c r="G55" s="1788">
        <f>IF(F55=0,0,G51/F55)</f>
        <v>0</v>
      </c>
      <c r="H55" s="1787"/>
      <c r="I55" s="577"/>
      <c r="J55" s="577"/>
      <c r="K55" s="1778"/>
      <c r="L55" s="1782">
        <f>$L$11</f>
        <v>1000</v>
      </c>
      <c r="M55" s="1782"/>
      <c r="N55" s="180">
        <f>$N$11</f>
        <v>0</v>
      </c>
      <c r="O55" s="190">
        <f>$O$11</f>
        <v>0</v>
      </c>
      <c r="P55" s="190">
        <f>P57*N55</f>
        <v>0</v>
      </c>
      <c r="Q55" s="214">
        <f>$Q$11</f>
        <v>4.8800000000000003E-2</v>
      </c>
      <c r="R55" s="210">
        <f>$R$11</f>
        <v>0.05</v>
      </c>
      <c r="S55" s="182">
        <f>P55*Q55*S51</f>
        <v>0</v>
      </c>
      <c r="T55" s="182">
        <f>P55*R55*T51</f>
        <v>0</v>
      </c>
      <c r="U55" s="182">
        <f>S55+T55</f>
        <v>0</v>
      </c>
      <c r="V55" s="228" t="s">
        <v>238</v>
      </c>
      <c r="W55" s="230">
        <v>500</v>
      </c>
      <c r="X55" s="180">
        <f>N55</f>
        <v>0</v>
      </c>
      <c r="Y55" s="190">
        <f>Y56*N55</f>
        <v>0</v>
      </c>
      <c r="Z55" s="190">
        <f>IF(O55=0,0,IF((Y55/O55)&gt;Z51,O55*Z51,Y55))</f>
        <v>0</v>
      </c>
      <c r="AA55" s="190">
        <f>IF(O55=0,0,IF((Y55/O55)&gt;Z51,Y55-(O55*Z51),0))</f>
        <v>0</v>
      </c>
      <c r="AB55" s="214">
        <f>$AB$11</f>
        <v>4.8800000000000003E-2</v>
      </c>
      <c r="AC55" s="181">
        <f>$AC$11</f>
        <v>0</v>
      </c>
      <c r="AD55" s="181">
        <f>$AD$11</f>
        <v>0</v>
      </c>
      <c r="AE55" s="181">
        <f>IF($G$6&gt;$AB$4,0,IF($AB$5=3,0,AB55-AC55))</f>
        <v>4.8800000000000003E-2</v>
      </c>
      <c r="AF55" s="181">
        <f>IF($G$6&gt;$AB$4,0,IF($AB$5=3,0,AB55-AD55))</f>
        <v>4.8800000000000003E-2</v>
      </c>
      <c r="AG55" s="182">
        <f>Z55*AE55*AG51</f>
        <v>0</v>
      </c>
      <c r="AH55" s="182">
        <f>AA55*AF55*AG51</f>
        <v>0</v>
      </c>
      <c r="AI55" s="182">
        <f>AG55+AH55</f>
        <v>0</v>
      </c>
    </row>
    <row r="56" spans="1:35">
      <c r="A56" s="583" t="s">
        <v>173</v>
      </c>
      <c r="B56" s="168" t="s">
        <v>247</v>
      </c>
      <c r="C56" s="170"/>
      <c r="D56" s="170"/>
      <c r="E56" s="166"/>
      <c r="F56" s="166"/>
      <c r="G56" s="1788">
        <f>G53+G54+G55</f>
        <v>0</v>
      </c>
      <c r="H56" s="1787"/>
      <c r="I56" s="577"/>
      <c r="J56" s="577"/>
      <c r="K56" s="1778"/>
      <c r="L56" s="1783">
        <f>$L$12</f>
        <v>1000</v>
      </c>
      <c r="M56" s="1783"/>
      <c r="N56" s="180">
        <f>$N$12</f>
        <v>0</v>
      </c>
      <c r="O56" s="190">
        <f>$O$12</f>
        <v>0</v>
      </c>
      <c r="P56" s="190">
        <f>P57*N56</f>
        <v>0</v>
      </c>
      <c r="Q56" s="214">
        <f>$Q$12</f>
        <v>4.3999999999999997E-2</v>
      </c>
      <c r="R56" s="210">
        <f>$R$12</f>
        <v>0.05</v>
      </c>
      <c r="S56" s="182">
        <f>P56*Q56*S51</f>
        <v>0</v>
      </c>
      <c r="T56" s="182">
        <f>P56*R56*T51</f>
        <v>0</v>
      </c>
      <c r="U56" s="182">
        <f>S56+T56</f>
        <v>0</v>
      </c>
      <c r="V56" s="184"/>
      <c r="W56" s="185" t="str">
        <f>M57</f>
        <v xml:space="preserve"> gesamt</v>
      </c>
      <c r="X56" s="186">
        <f>N57</f>
        <v>1</v>
      </c>
      <c r="Y56" s="195">
        <f>O57-P57</f>
        <v>0</v>
      </c>
      <c r="Z56" s="195">
        <f>SUM(Z53:Z55)</f>
        <v>0</v>
      </c>
      <c r="AA56" s="195">
        <f>SUM(AA53:AA55)</f>
        <v>0</v>
      </c>
      <c r="AB56" s="215"/>
      <c r="AC56" s="216"/>
      <c r="AD56" s="196"/>
      <c r="AE56" s="196"/>
      <c r="AF56" s="196"/>
      <c r="AG56" s="196">
        <f>SUM(AG53:AG55)</f>
        <v>0</v>
      </c>
      <c r="AH56" s="196">
        <f>SUM(AH53:AH55)</f>
        <v>0</v>
      </c>
      <c r="AI56" s="216">
        <f>SUM(AI53:AI55)</f>
        <v>0</v>
      </c>
    </row>
    <row r="57" spans="1:35">
      <c r="A57" s="583" t="s">
        <v>173</v>
      </c>
      <c r="B57" s="168" t="s">
        <v>248</v>
      </c>
      <c r="C57" s="170"/>
      <c r="D57" s="170"/>
      <c r="E57" s="166"/>
      <c r="F57" s="166"/>
      <c r="G57" s="1788">
        <f>G41+G52</f>
        <v>0</v>
      </c>
      <c r="H57" s="1787"/>
      <c r="I57" s="577"/>
      <c r="J57" s="577"/>
      <c r="K57" s="1778"/>
      <c r="L57" s="184"/>
      <c r="M57" s="185" t="s">
        <v>216</v>
      </c>
      <c r="N57" s="186">
        <f>SUM(N53:N56)</f>
        <v>1</v>
      </c>
      <c r="O57" s="195">
        <f>$O$13</f>
        <v>0</v>
      </c>
      <c r="P57" s="195">
        <f>O57*(1-K50)</f>
        <v>0</v>
      </c>
      <c r="Q57" s="215"/>
      <c r="R57" s="211"/>
      <c r="S57" s="196">
        <f>SUM(S53:S56)</f>
        <v>0</v>
      </c>
      <c r="T57" s="196">
        <f>SUM(T53:T56)</f>
        <v>0</v>
      </c>
      <c r="U57" s="196">
        <f>SUM(U53:U56)</f>
        <v>0</v>
      </c>
      <c r="V57" s="177"/>
      <c r="W57" s="178"/>
      <c r="X57" s="179"/>
      <c r="Y57" s="179"/>
      <c r="Z57" s="1784">
        <f>Z56+AA56</f>
        <v>0</v>
      </c>
      <c r="AA57" s="1785"/>
      <c r="AB57" s="197"/>
      <c r="AC57" s="197"/>
      <c r="AD57" s="177"/>
      <c r="AE57" s="177"/>
      <c r="AF57" s="177"/>
      <c r="AG57" s="1784">
        <f>AG56+AH56</f>
        <v>0</v>
      </c>
      <c r="AH57" s="1785"/>
      <c r="AI57" s="197"/>
    </row>
    <row r="58" spans="1:35">
      <c r="A58" s="583" t="s">
        <v>173</v>
      </c>
      <c r="B58" s="168" t="s">
        <v>291</v>
      </c>
      <c r="C58" s="170"/>
      <c r="D58" s="170"/>
      <c r="E58" s="597">
        <f>$F$58</f>
        <v>0.03</v>
      </c>
      <c r="F58" s="598">
        <f>Kalkulation_Eigenstrom!AN61/1000</f>
        <v>0.03</v>
      </c>
      <c r="G58" s="1788">
        <f>SUM(G59:H66)</f>
        <v>0</v>
      </c>
      <c r="H58" s="1787"/>
      <c r="I58" s="577"/>
      <c r="J58" s="577"/>
      <c r="K58" s="1779"/>
      <c r="L58" s="177"/>
      <c r="M58" s="178" t="s">
        <v>206</v>
      </c>
      <c r="N58" s="590"/>
      <c r="O58" s="179">
        <f>SUM(O53:O56)</f>
        <v>0</v>
      </c>
      <c r="P58" s="179">
        <f>SUM(P53:P56)</f>
        <v>0</v>
      </c>
      <c r="Q58" s="197"/>
      <c r="R58" s="197"/>
      <c r="S58" s="1784">
        <f>S57+T57</f>
        <v>0</v>
      </c>
      <c r="T58" s="1785"/>
      <c r="U58" s="225"/>
      <c r="V58" s="591"/>
      <c r="W58" s="577"/>
      <c r="X58" s="591"/>
      <c r="Y58" s="591"/>
      <c r="Z58" s="591"/>
      <c r="AA58" s="577"/>
      <c r="AB58" s="592">
        <f>IF(O57=0,0,Z56/O57)</f>
        <v>0</v>
      </c>
      <c r="AC58" s="592">
        <f>IF(O57=0,0,AA56/O57)</f>
        <v>0</v>
      </c>
      <c r="AD58" s="591"/>
      <c r="AE58" s="577"/>
      <c r="AF58" s="591"/>
      <c r="AG58" s="577"/>
      <c r="AH58" s="577"/>
      <c r="AI58" s="591"/>
    </row>
    <row r="59" spans="1:35">
      <c r="A59" s="583" t="s">
        <v>173</v>
      </c>
      <c r="B59" s="168" t="str">
        <f>"Verzinsung "&amp;B36&amp;""</f>
        <v>Verzinsung Herstellungskosten PV-Anlage (Module, AC &amp; DC-Kabel, etc.)</v>
      </c>
      <c r="C59" s="170"/>
      <c r="D59" s="170"/>
      <c r="E59" s="166"/>
      <c r="F59" s="599">
        <f>$E$58/(1-(POWER((1/(1+$E$58)),F43)))</f>
        <v>6.7215707596859131E-2</v>
      </c>
      <c r="G59" s="1786">
        <f>(F59-(1/F43))*G36</f>
        <v>0</v>
      </c>
      <c r="H59" s="1787"/>
      <c r="I59" s="577"/>
      <c r="J59" s="577"/>
      <c r="K59" s="577"/>
      <c r="L59" s="198"/>
      <c r="M59" s="198"/>
      <c r="N59" s="199"/>
      <c r="O59" s="200"/>
      <c r="P59" s="201"/>
      <c r="Q59" s="202"/>
      <c r="R59" s="203"/>
      <c r="S59" s="204"/>
      <c r="T59" s="205"/>
      <c r="U59" s="206"/>
      <c r="V59" s="591"/>
      <c r="W59" s="577"/>
      <c r="X59" s="591"/>
      <c r="Y59" s="591"/>
      <c r="Z59" s="591"/>
      <c r="AA59" s="577"/>
      <c r="AB59" s="1775">
        <f>AB58+AC58</f>
        <v>0</v>
      </c>
      <c r="AC59" s="1776"/>
      <c r="AD59" s="593"/>
      <c r="AE59" s="577"/>
      <c r="AF59" s="591"/>
      <c r="AG59" s="577"/>
      <c r="AH59" s="577"/>
      <c r="AI59" s="577"/>
    </row>
    <row r="60" spans="1:35">
      <c r="A60" s="583" t="s">
        <v>173</v>
      </c>
      <c r="B60" s="168" t="str">
        <f>"Verzinsung "&amp;B37&amp;""</f>
        <v>Verzinsung Herstellungskosten Wechselrichter</v>
      </c>
      <c r="C60" s="170"/>
      <c r="D60" s="170"/>
      <c r="E60" s="166"/>
      <c r="F60" s="599">
        <f>$E$58/(1-(POWER((1/(1+$E$58)),F44)))</f>
        <v>0.11723050660515956</v>
      </c>
      <c r="G60" s="1786">
        <f>(F60-(1/F44))*G37</f>
        <v>0</v>
      </c>
      <c r="H60" s="178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82"/>
      <c r="AH60" s="582"/>
      <c r="AI60" s="577"/>
    </row>
    <row r="61" spans="1:35">
      <c r="A61" s="583" t="s">
        <v>173</v>
      </c>
      <c r="B61" s="168" t="str">
        <f>"Verzinsung "&amp;B38&amp;""</f>
        <v>Verzinsung Herstellungskosten Unterkonstruktion / Montagegestell</v>
      </c>
      <c r="C61" s="170"/>
      <c r="D61" s="170"/>
      <c r="E61" s="166"/>
      <c r="F61" s="599">
        <f>$E$58/(1-(POWER((1/(1+$E$58)),F45)))</f>
        <v>3.8865494441675502E-2</v>
      </c>
      <c r="G61" s="1786">
        <f>(F61-(1/F45))*G38</f>
        <v>0</v>
      </c>
      <c r="H61" s="1787"/>
      <c r="I61" s="577"/>
      <c r="J61" s="577"/>
      <c r="K61" s="1777">
        <v>0.3</v>
      </c>
      <c r="L61" s="217" t="s">
        <v>213</v>
      </c>
      <c r="M61" s="175"/>
      <c r="N61" s="175"/>
      <c r="O61" s="187" t="s">
        <v>119</v>
      </c>
      <c r="P61" s="188" t="s">
        <v>215</v>
      </c>
      <c r="Q61" s="212" t="s">
        <v>5</v>
      </c>
      <c r="R61" s="208" t="s">
        <v>225</v>
      </c>
      <c r="S61" s="194" t="s">
        <v>123</v>
      </c>
      <c r="T61" s="194" t="s">
        <v>123</v>
      </c>
      <c r="U61" s="194" t="s">
        <v>204</v>
      </c>
      <c r="V61" s="217" t="s">
        <v>222</v>
      </c>
      <c r="W61" s="175"/>
      <c r="X61" s="175"/>
      <c r="Y61" s="188" t="s">
        <v>205</v>
      </c>
      <c r="Z61" s="188" t="s">
        <v>205</v>
      </c>
      <c r="AA61" s="188" t="s">
        <v>205</v>
      </c>
      <c r="AB61" s="212" t="s">
        <v>224</v>
      </c>
      <c r="AC61" s="193" t="s">
        <v>226</v>
      </c>
      <c r="AD61" s="193" t="s">
        <v>226</v>
      </c>
      <c r="AE61" s="193" t="s">
        <v>5</v>
      </c>
      <c r="AF61" s="193" t="s">
        <v>5</v>
      </c>
      <c r="AG61" s="224" t="s">
        <v>123</v>
      </c>
      <c r="AH61" s="224" t="s">
        <v>123</v>
      </c>
      <c r="AI61" s="194" t="s">
        <v>204</v>
      </c>
    </row>
    <row r="62" spans="1:35">
      <c r="A62" s="583" t="s">
        <v>173</v>
      </c>
      <c r="B62" s="168" t="str">
        <f>"Verzinsung "&amp;B39&amp;""</f>
        <v>Verzinsung Herstellungskosten Sonstiges</v>
      </c>
      <c r="C62" s="170"/>
      <c r="D62" s="170"/>
      <c r="E62" s="166"/>
      <c r="F62" s="599">
        <f>$E$58/(1-(POWER((1/(1+$E$58)),F46)))</f>
        <v>6.7215707596859131E-2</v>
      </c>
      <c r="G62" s="1786">
        <f>(F62-(1/F46))*G39</f>
        <v>0</v>
      </c>
      <c r="H62" s="1787"/>
      <c r="I62" s="577"/>
      <c r="J62" s="577"/>
      <c r="K62" s="1778"/>
      <c r="L62" s="175"/>
      <c r="M62" s="175"/>
      <c r="N62" s="176"/>
      <c r="O62" s="187" t="s">
        <v>204</v>
      </c>
      <c r="P62" s="189" t="s">
        <v>214</v>
      </c>
      <c r="Q62" s="584" t="str">
        <f>$Q$7</f>
        <v>0-20Jahre</v>
      </c>
      <c r="R62" s="585" t="str">
        <f>$R$7</f>
        <v>21-20 Jahre</v>
      </c>
      <c r="S62" s="586">
        <f>$S$7</f>
        <v>1</v>
      </c>
      <c r="T62" s="586">
        <f>$T$7</f>
        <v>0</v>
      </c>
      <c r="U62" s="587" t="str">
        <f>$U$7</f>
        <v>0-20 Jahre</v>
      </c>
      <c r="V62" s="175"/>
      <c r="W62" s="175"/>
      <c r="X62" s="176"/>
      <c r="Y62" s="191" t="s">
        <v>204</v>
      </c>
      <c r="Z62" s="219">
        <f>$Z$7</f>
        <v>0.3</v>
      </c>
      <c r="AA62" s="220">
        <f>Z62</f>
        <v>0.3</v>
      </c>
      <c r="AB62" s="584" t="str">
        <f>"0-"&amp;G157&amp;"Jahre"</f>
        <v>0-Jahre</v>
      </c>
      <c r="AC62" s="588" t="str">
        <f>"bis "&amp;Z62*100&amp;"%"</f>
        <v>bis 30%</v>
      </c>
      <c r="AD62" s="588" t="str">
        <f>"über "&amp;AA62*100&amp;"%"</f>
        <v>über 30%</v>
      </c>
      <c r="AE62" s="588" t="str">
        <f>"bis "&amp;Z62*100&amp;"%"</f>
        <v>bis 30%</v>
      </c>
      <c r="AF62" s="588" t="str">
        <f>"über "&amp;AA62*100&amp;"%"</f>
        <v>über 30%</v>
      </c>
      <c r="AG62" s="1780">
        <f>$AG$7</f>
        <v>1</v>
      </c>
      <c r="AH62" s="1781"/>
      <c r="AI62" s="588" t="str">
        <f>$AI$7</f>
        <v>0-20 Jahre</v>
      </c>
    </row>
    <row r="63" spans="1:35">
      <c r="A63" s="583" t="s">
        <v>173</v>
      </c>
      <c r="B63" s="168" t="str">
        <f>"Verzinsung "&amp;B40&amp;""</f>
        <v xml:space="preserve">Verzinsung Herstellungskosten </v>
      </c>
      <c r="C63" s="170"/>
      <c r="D63" s="170"/>
      <c r="E63" s="166"/>
      <c r="F63" s="599">
        <f>$E$58/(1-(POWER((1/(1+$E$58)),F47)))</f>
        <v>6.7215707596859131E-2</v>
      </c>
      <c r="G63" s="1786">
        <f>(F63-(1/F47))*G40</f>
        <v>0</v>
      </c>
      <c r="H63" s="1787"/>
      <c r="I63" s="577"/>
      <c r="J63" s="577"/>
      <c r="K63" s="1778"/>
      <c r="L63" s="175" t="str">
        <f>$L$8</f>
        <v>Dachanlage</v>
      </c>
      <c r="M63" s="175"/>
      <c r="N63" s="176" t="s">
        <v>104</v>
      </c>
      <c r="O63" s="187" t="s">
        <v>120</v>
      </c>
      <c r="P63" s="187" t="s">
        <v>120</v>
      </c>
      <c r="Q63" s="213" t="s">
        <v>122</v>
      </c>
      <c r="R63" s="209" t="s">
        <v>122</v>
      </c>
      <c r="S63" s="183" t="s">
        <v>124</v>
      </c>
      <c r="T63" s="183" t="s">
        <v>124</v>
      </c>
      <c r="U63" s="183" t="s">
        <v>124</v>
      </c>
      <c r="V63" s="223"/>
      <c r="W63" s="175"/>
      <c r="X63" s="176" t="str">
        <f>N63</f>
        <v>Anteile</v>
      </c>
      <c r="Y63" s="192" t="s">
        <v>120</v>
      </c>
      <c r="Z63" s="192" t="s">
        <v>120</v>
      </c>
      <c r="AA63" s="192" t="s">
        <v>120</v>
      </c>
      <c r="AB63" s="213" t="s">
        <v>122</v>
      </c>
      <c r="AC63" s="213" t="s">
        <v>122</v>
      </c>
      <c r="AD63" s="213" t="s">
        <v>122</v>
      </c>
      <c r="AE63" s="213" t="s">
        <v>122</v>
      </c>
      <c r="AF63" s="213" t="s">
        <v>122</v>
      </c>
      <c r="AG63" s="183" t="s">
        <v>124</v>
      </c>
      <c r="AH63" s="183" t="s">
        <v>124</v>
      </c>
      <c r="AI63" s="183" t="s">
        <v>124</v>
      </c>
    </row>
    <row r="64" spans="1:35">
      <c r="A64" s="583" t="s">
        <v>173</v>
      </c>
      <c r="B64" s="168" t="str">
        <f>"Verzinsung "&amp;B49&amp;""</f>
        <v xml:space="preserve">Verzinsung Herstellungskosten </v>
      </c>
      <c r="C64" s="170"/>
      <c r="D64" s="170"/>
      <c r="E64" s="166"/>
      <c r="F64" s="599">
        <f>$E$58/(1-(POWER((1/(1+$E$58)),F53)))</f>
        <v>6.7215707596859131E-2</v>
      </c>
      <c r="G64" s="1786">
        <f>(F64-(1/F53))*G49</f>
        <v>0</v>
      </c>
      <c r="H64" s="1787"/>
      <c r="I64" s="577"/>
      <c r="J64" s="600"/>
      <c r="K64" s="1778"/>
      <c r="L64" s="1782">
        <f>$L$9</f>
        <v>10</v>
      </c>
      <c r="M64" s="1782"/>
      <c r="N64" s="180">
        <f>$N$9</f>
        <v>1</v>
      </c>
      <c r="O64" s="190">
        <f>$O$9</f>
        <v>0</v>
      </c>
      <c r="P64" s="190">
        <f>P68*N64</f>
        <v>0</v>
      </c>
      <c r="Q64" s="214">
        <f>$Q$9</f>
        <v>6.4299999999999996E-2</v>
      </c>
      <c r="R64" s="210">
        <f>$R$9</f>
        <v>0.05</v>
      </c>
      <c r="S64" s="182">
        <f>P64*Q64*S62</f>
        <v>0</v>
      </c>
      <c r="T64" s="182">
        <f>P64*R64*T62</f>
        <v>0</v>
      </c>
      <c r="U64" s="182">
        <f>S64+T64</f>
        <v>0</v>
      </c>
      <c r="V64" s="228" t="s">
        <v>238</v>
      </c>
      <c r="W64" s="229">
        <f>L64</f>
        <v>10</v>
      </c>
      <c r="X64" s="180">
        <f>N64</f>
        <v>1</v>
      </c>
      <c r="Y64" s="190">
        <f>Y67*N64</f>
        <v>0</v>
      </c>
      <c r="Z64" s="190">
        <f>IF(O64=0,0,IF((Y64/O64)&gt;Z62,O64*Z62,Y64))</f>
        <v>0</v>
      </c>
      <c r="AA64" s="190">
        <f>IF(O64=0,0,IF((Y64/O64)&gt;Z62,Y64-(O64*Z62),0))</f>
        <v>0</v>
      </c>
      <c r="AB64" s="214">
        <f>$AB$9</f>
        <v>6.4299999999999996E-2</v>
      </c>
      <c r="AC64" s="181">
        <f>$AC$9</f>
        <v>0</v>
      </c>
      <c r="AD64" s="181">
        <f>$AD$9</f>
        <v>0</v>
      </c>
      <c r="AE64" s="181">
        <f>IF($G$6&gt;$AB$4,0,IF($AB$5=3,0,AB64-AC64))</f>
        <v>6.4299999999999996E-2</v>
      </c>
      <c r="AF64" s="181">
        <f>IF($G$6&gt;$AB$4,0,IF($AB$5=3,0,AB64-AD64))</f>
        <v>6.4299999999999996E-2</v>
      </c>
      <c r="AG64" s="182">
        <f>Z64*AE64*AG62</f>
        <v>0</v>
      </c>
      <c r="AH64" s="182">
        <f>AA64*AF64*AG62</f>
        <v>0</v>
      </c>
      <c r="AI64" s="182">
        <f>AG64+AH64</f>
        <v>0</v>
      </c>
    </row>
    <row r="65" spans="1:35">
      <c r="A65" s="583" t="s">
        <v>173</v>
      </c>
      <c r="B65" s="168" t="str">
        <f>"Verzinsung "&amp;B50&amp;""</f>
        <v xml:space="preserve">Verzinsung Herstellungskosten </v>
      </c>
      <c r="C65" s="170"/>
      <c r="D65" s="170"/>
      <c r="E65" s="166"/>
      <c r="F65" s="599">
        <f>$E$58/(1-(POWER((1/(1+$E$58)),F54)))</f>
        <v>6.7215707596859131E-2</v>
      </c>
      <c r="G65" s="1786">
        <f>(F65-(1/F54))*G50</f>
        <v>0</v>
      </c>
      <c r="H65" s="1787"/>
      <c r="I65" s="577"/>
      <c r="J65" s="601"/>
      <c r="K65" s="1778"/>
      <c r="L65" s="1782">
        <f>$L$10</f>
        <v>40</v>
      </c>
      <c r="M65" s="1782"/>
      <c r="N65" s="180">
        <f>$N$10</f>
        <v>0</v>
      </c>
      <c r="O65" s="190">
        <f>$O$10</f>
        <v>0</v>
      </c>
      <c r="P65" s="190">
        <f>P68*N65</f>
        <v>0</v>
      </c>
      <c r="Q65" s="214">
        <f>$Q$10</f>
        <v>6.25E-2</v>
      </c>
      <c r="R65" s="210">
        <f>$R$10</f>
        <v>0.05</v>
      </c>
      <c r="S65" s="182">
        <f>P65*Q65*S62</f>
        <v>0</v>
      </c>
      <c r="T65" s="182">
        <f>P65*R65*T62</f>
        <v>0</v>
      </c>
      <c r="U65" s="182">
        <f>S65+T65</f>
        <v>0</v>
      </c>
      <c r="V65" s="228" t="s">
        <v>238</v>
      </c>
      <c r="W65" s="229">
        <f>L65</f>
        <v>40</v>
      </c>
      <c r="X65" s="180">
        <f>N65</f>
        <v>0</v>
      </c>
      <c r="Y65" s="190">
        <f>Y67*N65</f>
        <v>0</v>
      </c>
      <c r="Z65" s="190">
        <f>IF(O65=0,0,IF((Y65/O65)&gt;Z62,O65*Z62,Y65))</f>
        <v>0</v>
      </c>
      <c r="AA65" s="190">
        <f>IF(O65=0,0,IF((Y65/O65)&gt;Z62,Y65-(O65*Z62),0))</f>
        <v>0</v>
      </c>
      <c r="AB65" s="214">
        <f>$AB$10</f>
        <v>6.25E-2</v>
      </c>
      <c r="AC65" s="181">
        <f>$AC$10</f>
        <v>0</v>
      </c>
      <c r="AD65" s="181">
        <f>$AD$10</f>
        <v>0</v>
      </c>
      <c r="AE65" s="181">
        <f>IF($G$6&gt;$AB$4,0,IF($AB$5=3,0,AB65-AC65))</f>
        <v>6.25E-2</v>
      </c>
      <c r="AF65" s="181">
        <f>IF($G$6&gt;$AB$4,0,IF($AB$5=3,0,AB65-AD65))</f>
        <v>6.25E-2</v>
      </c>
      <c r="AG65" s="182">
        <f>Z65*AE65*AG62</f>
        <v>0</v>
      </c>
      <c r="AH65" s="182">
        <f>AA65*AF65*AG62</f>
        <v>0</v>
      </c>
      <c r="AI65" s="182">
        <f>AG65+AH65</f>
        <v>0</v>
      </c>
    </row>
    <row r="66" spans="1:35">
      <c r="A66" s="583" t="s">
        <v>173</v>
      </c>
      <c r="B66" s="168" t="str">
        <f>"Verzinsung "&amp;B51&amp;""</f>
        <v xml:space="preserve">Verzinsung Herstellungskosten </v>
      </c>
      <c r="C66" s="170"/>
      <c r="D66" s="170"/>
      <c r="E66" s="166"/>
      <c r="F66" s="599">
        <f>$E$58/(1-(POWER((1/(1+$E$58)),F55)))</f>
        <v>0.11723050660515956</v>
      </c>
      <c r="G66" s="1786">
        <f>(F66-(1/F55))*G51</f>
        <v>0</v>
      </c>
      <c r="H66" s="1787"/>
      <c r="I66" s="577"/>
      <c r="J66" s="577"/>
      <c r="K66" s="1778"/>
      <c r="L66" s="1782">
        <f>$L$11</f>
        <v>1000</v>
      </c>
      <c r="M66" s="1782"/>
      <c r="N66" s="180">
        <f>$N$11</f>
        <v>0</v>
      </c>
      <c r="O66" s="190">
        <f>$O$11</f>
        <v>0</v>
      </c>
      <c r="P66" s="190">
        <f>P68*N66</f>
        <v>0</v>
      </c>
      <c r="Q66" s="214">
        <f>$Q$11</f>
        <v>4.8800000000000003E-2</v>
      </c>
      <c r="R66" s="210">
        <f>$R$11</f>
        <v>0.05</v>
      </c>
      <c r="S66" s="182">
        <f>P66*Q66*S62</f>
        <v>0</v>
      </c>
      <c r="T66" s="182">
        <f>P66*R66*T62</f>
        <v>0</v>
      </c>
      <c r="U66" s="182">
        <f>S66+T66</f>
        <v>0</v>
      </c>
      <c r="V66" s="228" t="s">
        <v>238</v>
      </c>
      <c r="W66" s="230">
        <v>500</v>
      </c>
      <c r="X66" s="180">
        <f>N66</f>
        <v>0</v>
      </c>
      <c r="Y66" s="190">
        <f>Y67*N66</f>
        <v>0</v>
      </c>
      <c r="Z66" s="190">
        <f>IF(O66=0,0,IF((Y66/O66)&gt;Z62,O66*Z62,Y66))</f>
        <v>0</v>
      </c>
      <c r="AA66" s="190">
        <f>IF(O66=0,0,IF((Y66/O66)&gt;Z62,Y66-(O66*Z62),0))</f>
        <v>0</v>
      </c>
      <c r="AB66" s="214">
        <f>$AB$11</f>
        <v>4.8800000000000003E-2</v>
      </c>
      <c r="AC66" s="181">
        <f>$AC$11</f>
        <v>0</v>
      </c>
      <c r="AD66" s="181">
        <f>$AD$11</f>
        <v>0</v>
      </c>
      <c r="AE66" s="181">
        <f>IF($G$6&gt;$AB$4,0,IF($AB$5=3,0,AB66-AC66))</f>
        <v>4.8800000000000003E-2</v>
      </c>
      <c r="AF66" s="181">
        <f>IF($G$6&gt;$AB$4,0,IF($AB$5=3,0,AB66-AD66))</f>
        <v>4.8800000000000003E-2</v>
      </c>
      <c r="AG66" s="182">
        <f>Z66*AE66*AG62</f>
        <v>0</v>
      </c>
      <c r="AH66" s="182">
        <f>AA66*AF66*AG62</f>
        <v>0</v>
      </c>
      <c r="AI66" s="182">
        <f>AG66+AH66</f>
        <v>0</v>
      </c>
    </row>
    <row r="67" spans="1:35">
      <c r="A67" s="583" t="s">
        <v>173</v>
      </c>
      <c r="B67" s="168" t="s">
        <v>208</v>
      </c>
      <c r="C67" s="170"/>
      <c r="D67" s="170"/>
      <c r="E67" s="166"/>
      <c r="F67" s="166"/>
      <c r="G67" s="1788">
        <f>G43+G44+G45+G46+G47+G53+G54+G55+G58</f>
        <v>0</v>
      </c>
      <c r="H67" s="1787"/>
      <c r="I67" s="577"/>
      <c r="J67" s="577"/>
      <c r="K67" s="1778"/>
      <c r="L67" s="1783">
        <f>$L$12</f>
        <v>1000</v>
      </c>
      <c r="M67" s="1783"/>
      <c r="N67" s="180">
        <f>$N$12</f>
        <v>0</v>
      </c>
      <c r="O67" s="190">
        <f>$O$12</f>
        <v>0</v>
      </c>
      <c r="P67" s="190">
        <f>P68*N67</f>
        <v>0</v>
      </c>
      <c r="Q67" s="214">
        <f>$Q$12</f>
        <v>4.3999999999999997E-2</v>
      </c>
      <c r="R67" s="210">
        <f>$R$12</f>
        <v>0.05</v>
      </c>
      <c r="S67" s="182">
        <f>P67*Q67*S62</f>
        <v>0</v>
      </c>
      <c r="T67" s="182">
        <f>P67*R67*T62</f>
        <v>0</v>
      </c>
      <c r="U67" s="182">
        <f>S67+T67</f>
        <v>0</v>
      </c>
      <c r="V67" s="184"/>
      <c r="W67" s="185" t="str">
        <f>M68</f>
        <v xml:space="preserve"> gesamt</v>
      </c>
      <c r="X67" s="186">
        <f>N68</f>
        <v>1</v>
      </c>
      <c r="Y67" s="195">
        <f>O68-P68</f>
        <v>0</v>
      </c>
      <c r="Z67" s="195">
        <f>SUM(Z64:Z66)</f>
        <v>0</v>
      </c>
      <c r="AA67" s="195">
        <f>SUM(AA64:AA66)</f>
        <v>0</v>
      </c>
      <c r="AB67" s="215"/>
      <c r="AC67" s="216"/>
      <c r="AD67" s="196"/>
      <c r="AE67" s="196"/>
      <c r="AF67" s="196"/>
      <c r="AG67" s="196">
        <f>SUM(AG64:AG66)</f>
        <v>0</v>
      </c>
      <c r="AH67" s="196">
        <f>SUM(AH64:AH66)</f>
        <v>0</v>
      </c>
      <c r="AI67" s="216">
        <f>SUM(AI64:AI66)</f>
        <v>0</v>
      </c>
    </row>
    <row r="68" spans="1:35">
      <c r="A68" s="583" t="s">
        <v>173</v>
      </c>
      <c r="B68" s="174" t="str">
        <f>"Verbrauchsgeb. Kosten: "&amp;Kalkulation_Eigenstrom!AP63&amp;""</f>
        <v>Verbrauchsgeb. Kosten: Hilfsstrom</v>
      </c>
      <c r="C68" s="170"/>
      <c r="D68" s="170"/>
      <c r="E68" s="166"/>
      <c r="F68" s="166"/>
      <c r="G68" s="1798">
        <f>Kalkulation_Eigenstrom!AY63</f>
        <v>0</v>
      </c>
      <c r="H68" s="1799"/>
      <c r="I68" s="577"/>
      <c r="J68" s="577"/>
      <c r="K68" s="1778"/>
      <c r="L68" s="184"/>
      <c r="M68" s="185" t="s">
        <v>216</v>
      </c>
      <c r="N68" s="186">
        <f>SUM(N64:N67)</f>
        <v>1</v>
      </c>
      <c r="O68" s="195">
        <f>$O$13</f>
        <v>0</v>
      </c>
      <c r="P68" s="195">
        <f>O68*(1-K61)</f>
        <v>0</v>
      </c>
      <c r="Q68" s="215"/>
      <c r="R68" s="211"/>
      <c r="S68" s="196">
        <f>SUM(S64:S67)</f>
        <v>0</v>
      </c>
      <c r="T68" s="196">
        <f>SUM(T64:T67)</f>
        <v>0</v>
      </c>
      <c r="U68" s="196">
        <f>SUM(U64:U67)</f>
        <v>0</v>
      </c>
      <c r="V68" s="177"/>
      <c r="W68" s="178"/>
      <c r="X68" s="179"/>
      <c r="Y68" s="179"/>
      <c r="Z68" s="1784">
        <f>Z67+AA67</f>
        <v>0</v>
      </c>
      <c r="AA68" s="1785"/>
      <c r="AB68" s="197"/>
      <c r="AC68" s="197"/>
      <c r="AD68" s="177"/>
      <c r="AE68" s="177"/>
      <c r="AF68" s="177"/>
      <c r="AG68" s="1784">
        <f>AG67+AH67</f>
        <v>0</v>
      </c>
      <c r="AH68" s="1785"/>
      <c r="AI68" s="197"/>
    </row>
    <row r="69" spans="1:35">
      <c r="A69" s="583" t="s">
        <v>173</v>
      </c>
      <c r="B69" s="174" t="str">
        <f>"Verbrauchsgeb. Kosten: "&amp;Kalkulation_Eigenstrom!AP65&amp;""</f>
        <v xml:space="preserve">Verbrauchsgeb. Kosten: </v>
      </c>
      <c r="C69" s="170"/>
      <c r="D69" s="170"/>
      <c r="E69" s="166"/>
      <c r="F69" s="166"/>
      <c r="G69" s="1798">
        <f>Kalkulation_Eigenstrom!AY65</f>
        <v>0</v>
      </c>
      <c r="H69" s="1799"/>
      <c r="I69" s="577"/>
      <c r="J69" s="577"/>
      <c r="K69" s="1779"/>
      <c r="L69" s="177"/>
      <c r="M69" s="178" t="s">
        <v>206</v>
      </c>
      <c r="N69" s="590"/>
      <c r="O69" s="179">
        <f>SUM(O64:O67)</f>
        <v>0</v>
      </c>
      <c r="P69" s="179">
        <f>SUM(P64:P67)</f>
        <v>0</v>
      </c>
      <c r="Q69" s="197"/>
      <c r="R69" s="197"/>
      <c r="S69" s="1784">
        <f>S68+T68</f>
        <v>0</v>
      </c>
      <c r="T69" s="1785"/>
      <c r="U69" s="225"/>
      <c r="V69" s="591"/>
      <c r="W69" s="577"/>
      <c r="X69" s="591"/>
      <c r="Y69" s="591"/>
      <c r="Z69" s="591"/>
      <c r="AA69" s="577"/>
      <c r="AB69" s="592">
        <f>IF(O68=0,0,Z67/O68)</f>
        <v>0</v>
      </c>
      <c r="AC69" s="592">
        <f>IF(O68=0,0,AA67/O68)</f>
        <v>0</v>
      </c>
      <c r="AD69" s="591"/>
      <c r="AE69" s="577"/>
      <c r="AF69" s="591"/>
      <c r="AG69" s="577"/>
      <c r="AH69" s="577"/>
      <c r="AI69" s="591"/>
    </row>
    <row r="70" spans="1:35">
      <c r="A70" s="583" t="s">
        <v>173</v>
      </c>
      <c r="B70" s="174" t="str">
        <f>"Verbrauchsgeb. Kosten: "&amp;Kalkulation_Eigenstrom!AP67&amp;""</f>
        <v xml:space="preserve">Verbrauchsgeb. Kosten: </v>
      </c>
      <c r="C70" s="170"/>
      <c r="D70" s="170"/>
      <c r="E70" s="166"/>
      <c r="F70" s="166"/>
      <c r="G70" s="1798">
        <f>Kalkulation_Eigenstrom!AY67</f>
        <v>0</v>
      </c>
      <c r="H70" s="1799"/>
      <c r="I70" s="577"/>
      <c r="J70" s="577"/>
      <c r="K70" s="577"/>
      <c r="L70" s="198"/>
      <c r="M70" s="198"/>
      <c r="N70" s="199"/>
      <c r="O70" s="200"/>
      <c r="P70" s="201"/>
      <c r="Q70" s="202"/>
      <c r="R70" s="203"/>
      <c r="S70" s="204"/>
      <c r="T70" s="205"/>
      <c r="U70" s="206"/>
      <c r="V70" s="591"/>
      <c r="W70" s="577"/>
      <c r="X70" s="591"/>
      <c r="Y70" s="591"/>
      <c r="Z70" s="591"/>
      <c r="AA70" s="577"/>
      <c r="AB70" s="1775">
        <f>AB69+AC69</f>
        <v>0</v>
      </c>
      <c r="AC70" s="1776"/>
      <c r="AD70" s="593"/>
      <c r="AE70" s="577"/>
      <c r="AF70" s="591"/>
      <c r="AG70" s="577"/>
      <c r="AH70" s="577"/>
      <c r="AI70" s="577"/>
    </row>
    <row r="71" spans="1:35">
      <c r="A71" s="583" t="s">
        <v>173</v>
      </c>
      <c r="B71" s="168" t="s">
        <v>211</v>
      </c>
      <c r="C71" s="170"/>
      <c r="D71" s="170"/>
      <c r="E71" s="166"/>
      <c r="F71" s="166"/>
      <c r="G71" s="1788">
        <f>G68+G69+G70</f>
        <v>0</v>
      </c>
      <c r="H71" s="178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82"/>
      <c r="AH71" s="582"/>
      <c r="AI71" s="577"/>
    </row>
    <row r="72" spans="1:35">
      <c r="A72" s="583" t="s">
        <v>173</v>
      </c>
      <c r="B72" s="168" t="str">
        <f>"Betriebssgeb. Kosten: "&amp;Kalkulation_Eigenstrom!AP71&amp;""</f>
        <v>Betriebssgeb. Kosten: Wartung / Instandhalt. Technik</v>
      </c>
      <c r="C72" s="170"/>
      <c r="D72" s="170"/>
      <c r="E72" s="166"/>
      <c r="G72" s="1798">
        <f>Kalkulation_Eigenstrom!AY71</f>
        <v>0</v>
      </c>
      <c r="H72" s="1799"/>
      <c r="I72" s="602">
        <v>5.0000000000000001E-3</v>
      </c>
      <c r="J72" s="577"/>
      <c r="K72" s="1777">
        <v>0.4</v>
      </c>
      <c r="L72" s="217" t="s">
        <v>213</v>
      </c>
      <c r="M72" s="175"/>
      <c r="N72" s="175"/>
      <c r="O72" s="187" t="s">
        <v>119</v>
      </c>
      <c r="P72" s="188" t="s">
        <v>215</v>
      </c>
      <c r="Q72" s="212" t="s">
        <v>5</v>
      </c>
      <c r="R72" s="208" t="s">
        <v>225</v>
      </c>
      <c r="S72" s="194" t="s">
        <v>123</v>
      </c>
      <c r="T72" s="194" t="s">
        <v>123</v>
      </c>
      <c r="U72" s="194" t="s">
        <v>204</v>
      </c>
      <c r="V72" s="217" t="s">
        <v>222</v>
      </c>
      <c r="W72" s="175"/>
      <c r="X72" s="175"/>
      <c r="Y72" s="188" t="s">
        <v>205</v>
      </c>
      <c r="Z72" s="188" t="s">
        <v>205</v>
      </c>
      <c r="AA72" s="188" t="s">
        <v>205</v>
      </c>
      <c r="AB72" s="212" t="s">
        <v>224</v>
      </c>
      <c r="AC72" s="193" t="s">
        <v>226</v>
      </c>
      <c r="AD72" s="193" t="s">
        <v>226</v>
      </c>
      <c r="AE72" s="193" t="s">
        <v>5</v>
      </c>
      <c r="AF72" s="193" t="s">
        <v>5</v>
      </c>
      <c r="AG72" s="224" t="s">
        <v>123</v>
      </c>
      <c r="AH72" s="224" t="s">
        <v>123</v>
      </c>
      <c r="AI72" s="194" t="s">
        <v>204</v>
      </c>
    </row>
    <row r="73" spans="1:35">
      <c r="A73" s="583" t="s">
        <v>173</v>
      </c>
      <c r="B73" s="168" t="str">
        <f>"Betriebssgeb. Kosten: "&amp;Kalkulation_Eigenstrom!AP73&amp;""</f>
        <v>Betriebssgeb. Kosten: Zählermiete (an Netzbetreiber)</v>
      </c>
      <c r="C73" s="170"/>
      <c r="D73" s="170"/>
      <c r="E73" s="166"/>
      <c r="F73" s="166"/>
      <c r="G73" s="1798">
        <f>Kalkulation_Eigenstrom!AY73</f>
        <v>0</v>
      </c>
      <c r="H73" s="1799"/>
      <c r="I73" s="603">
        <f>ROUNDUP(G57*I72,0)</f>
        <v>0</v>
      </c>
      <c r="J73" s="577"/>
      <c r="K73" s="1778"/>
      <c r="L73" s="175"/>
      <c r="M73" s="175"/>
      <c r="N73" s="176"/>
      <c r="O73" s="187" t="s">
        <v>204</v>
      </c>
      <c r="P73" s="189" t="s">
        <v>214</v>
      </c>
      <c r="Q73" s="584" t="str">
        <f>$Q$7</f>
        <v>0-20Jahre</v>
      </c>
      <c r="R73" s="585" t="str">
        <f>$R$7</f>
        <v>21-20 Jahre</v>
      </c>
      <c r="S73" s="586">
        <f>$S$7</f>
        <v>1</v>
      </c>
      <c r="T73" s="586">
        <f>$T$7</f>
        <v>0</v>
      </c>
      <c r="U73" s="587" t="str">
        <f>$U$7</f>
        <v>0-20 Jahre</v>
      </c>
      <c r="V73" s="175"/>
      <c r="W73" s="175"/>
      <c r="X73" s="176"/>
      <c r="Y73" s="191" t="s">
        <v>204</v>
      </c>
      <c r="Z73" s="219">
        <f>$Z$7</f>
        <v>0.3</v>
      </c>
      <c r="AA73" s="220">
        <f>Z73</f>
        <v>0.3</v>
      </c>
      <c r="AB73" s="584" t="str">
        <f>"0-"&amp;G168&amp;"Jahre"</f>
        <v>0-Jahre</v>
      </c>
      <c r="AC73" s="588" t="str">
        <f>"bis "&amp;Z73*100&amp;"%"</f>
        <v>bis 30%</v>
      </c>
      <c r="AD73" s="588" t="str">
        <f>"über "&amp;AA73*100&amp;"%"</f>
        <v>über 30%</v>
      </c>
      <c r="AE73" s="588" t="str">
        <f>"bis "&amp;Z73*100&amp;"%"</f>
        <v>bis 30%</v>
      </c>
      <c r="AF73" s="588" t="str">
        <f>"über "&amp;AA73*100&amp;"%"</f>
        <v>über 30%</v>
      </c>
      <c r="AG73" s="1780">
        <f>$AG$7</f>
        <v>1</v>
      </c>
      <c r="AH73" s="1781"/>
      <c r="AI73" s="588" t="str">
        <f>$AI$7</f>
        <v>0-20 Jahre</v>
      </c>
    </row>
    <row r="74" spans="1:35">
      <c r="A74" s="583" t="s">
        <v>173</v>
      </c>
      <c r="B74" s="168" t="str">
        <f>"Betriebssgeb. Kosten: "&amp;Kalkulation_Eigenstrom!AP75&amp;""</f>
        <v xml:space="preserve">Betriebssgeb. Kosten: </v>
      </c>
      <c r="C74" s="170"/>
      <c r="D74" s="170"/>
      <c r="E74" s="166"/>
      <c r="F74" s="166"/>
      <c r="G74" s="1798">
        <f>Kalkulation_Eigenstrom!AY75</f>
        <v>0</v>
      </c>
      <c r="H74" s="1799"/>
      <c r="I74" s="577"/>
      <c r="J74" s="577"/>
      <c r="K74" s="1778"/>
      <c r="L74" s="175" t="str">
        <f>$L$8</f>
        <v>Dachanlage</v>
      </c>
      <c r="M74" s="175"/>
      <c r="N74" s="176" t="s">
        <v>104</v>
      </c>
      <c r="O74" s="187" t="s">
        <v>120</v>
      </c>
      <c r="P74" s="187" t="s">
        <v>120</v>
      </c>
      <c r="Q74" s="213" t="s">
        <v>122</v>
      </c>
      <c r="R74" s="209" t="s">
        <v>122</v>
      </c>
      <c r="S74" s="183" t="s">
        <v>124</v>
      </c>
      <c r="T74" s="183" t="s">
        <v>124</v>
      </c>
      <c r="U74" s="183" t="s">
        <v>124</v>
      </c>
      <c r="V74" s="223"/>
      <c r="W74" s="175"/>
      <c r="X74" s="176" t="str">
        <f>N74</f>
        <v>Anteile</v>
      </c>
      <c r="Y74" s="192" t="s">
        <v>120</v>
      </c>
      <c r="Z74" s="192" t="s">
        <v>120</v>
      </c>
      <c r="AA74" s="192" t="s">
        <v>120</v>
      </c>
      <c r="AB74" s="213" t="s">
        <v>122</v>
      </c>
      <c r="AC74" s="213" t="s">
        <v>122</v>
      </c>
      <c r="AD74" s="213" t="s">
        <v>122</v>
      </c>
      <c r="AE74" s="213" t="s">
        <v>122</v>
      </c>
      <c r="AF74" s="213" t="s">
        <v>122</v>
      </c>
      <c r="AG74" s="183" t="s">
        <v>124</v>
      </c>
      <c r="AH74" s="183" t="s">
        <v>124</v>
      </c>
      <c r="AI74" s="183" t="s">
        <v>124</v>
      </c>
    </row>
    <row r="75" spans="1:35">
      <c r="A75" s="583" t="s">
        <v>173</v>
      </c>
      <c r="B75" s="168" t="s">
        <v>209</v>
      </c>
      <c r="C75" s="170"/>
      <c r="D75" s="170"/>
      <c r="E75" s="166"/>
      <c r="F75" s="166"/>
      <c r="G75" s="1788">
        <f>G72+G73+G74</f>
        <v>0</v>
      </c>
      <c r="H75" s="1787"/>
      <c r="I75" s="577"/>
      <c r="J75" s="577"/>
      <c r="K75" s="1778"/>
      <c r="L75" s="1782">
        <f>$L$9</f>
        <v>10</v>
      </c>
      <c r="M75" s="1782"/>
      <c r="N75" s="180">
        <f>$N$9</f>
        <v>1</v>
      </c>
      <c r="O75" s="190">
        <f>$O$9</f>
        <v>0</v>
      </c>
      <c r="P75" s="190">
        <f>P79*N75</f>
        <v>0</v>
      </c>
      <c r="Q75" s="214">
        <f>$Q$9</f>
        <v>6.4299999999999996E-2</v>
      </c>
      <c r="R75" s="210">
        <f>$R$9</f>
        <v>0.05</v>
      </c>
      <c r="S75" s="182">
        <f>P75*Q75*S73</f>
        <v>0</v>
      </c>
      <c r="T75" s="182">
        <f>P75*R75*T73</f>
        <v>0</v>
      </c>
      <c r="U75" s="182">
        <f>S75+T75</f>
        <v>0</v>
      </c>
      <c r="V75" s="228" t="s">
        <v>238</v>
      </c>
      <c r="W75" s="229">
        <f>L75</f>
        <v>10</v>
      </c>
      <c r="X75" s="180">
        <f>N75</f>
        <v>1</v>
      </c>
      <c r="Y75" s="190">
        <f>Y78*N75</f>
        <v>0</v>
      </c>
      <c r="Z75" s="190">
        <f>IF(O75=0,0,IF((Y75/O75)&gt;Z73,O75*Z73,Y75))</f>
        <v>0</v>
      </c>
      <c r="AA75" s="190">
        <f>IF(O75=0,0,IF((Y75/O75)&gt;Z73,Y75-(O75*Z73),0))</f>
        <v>0</v>
      </c>
      <c r="AB75" s="214">
        <f>$AB$9</f>
        <v>6.4299999999999996E-2</v>
      </c>
      <c r="AC75" s="181">
        <f>$AC$9</f>
        <v>0</v>
      </c>
      <c r="AD75" s="181">
        <f>$AD$9</f>
        <v>0</v>
      </c>
      <c r="AE75" s="181">
        <f>IF($G$6&gt;$AB$4,0,IF($AB$5=3,0,AB75-AC75))</f>
        <v>6.4299999999999996E-2</v>
      </c>
      <c r="AF75" s="181">
        <f>IF($G$6&gt;$AB$4,0,IF($AB$5=3,0,AB75-AD75))</f>
        <v>6.4299999999999996E-2</v>
      </c>
      <c r="AG75" s="182">
        <f>Z75*AE75*AG73</f>
        <v>0</v>
      </c>
      <c r="AH75" s="182">
        <f>AA75*AF75*AG73</f>
        <v>0</v>
      </c>
      <c r="AI75" s="182">
        <f>AG75+AH75</f>
        <v>0</v>
      </c>
    </row>
    <row r="76" spans="1:35">
      <c r="A76" s="583" t="s">
        <v>173</v>
      </c>
      <c r="B76" s="168" t="str">
        <f>"Sonstige Kosten: "&amp;Kalkulation_Eigenstrom!AP79&amp;""</f>
        <v>Sonstige Kosten: PV-Versicherung</v>
      </c>
      <c r="C76" s="170"/>
      <c r="D76" s="170"/>
      <c r="E76" s="166"/>
      <c r="F76" s="166"/>
      <c r="G76" s="1798">
        <f>Kalkulation_Eigenstrom!AY79</f>
        <v>0</v>
      </c>
      <c r="H76" s="1799"/>
      <c r="I76" s="602">
        <v>3.0000000000000001E-3</v>
      </c>
      <c r="J76" s="577"/>
      <c r="K76" s="1778"/>
      <c r="L76" s="1782">
        <f>$L$10</f>
        <v>40</v>
      </c>
      <c r="M76" s="1782"/>
      <c r="N76" s="180">
        <f>$N$10</f>
        <v>0</v>
      </c>
      <c r="O76" s="190">
        <f>$O$10</f>
        <v>0</v>
      </c>
      <c r="P76" s="190">
        <f>P79*N76</f>
        <v>0</v>
      </c>
      <c r="Q76" s="214">
        <f>$Q$10</f>
        <v>6.25E-2</v>
      </c>
      <c r="R76" s="210">
        <f>$R$10</f>
        <v>0.05</v>
      </c>
      <c r="S76" s="182">
        <f>P76*Q76*S73</f>
        <v>0</v>
      </c>
      <c r="T76" s="182">
        <f>P76*R76*T73</f>
        <v>0</v>
      </c>
      <c r="U76" s="182">
        <f>S76+T76</f>
        <v>0</v>
      </c>
      <c r="V76" s="228" t="s">
        <v>238</v>
      </c>
      <c r="W76" s="229">
        <f>L76</f>
        <v>40</v>
      </c>
      <c r="X76" s="180">
        <f>N76</f>
        <v>0</v>
      </c>
      <c r="Y76" s="190">
        <f>Y78*N76</f>
        <v>0</v>
      </c>
      <c r="Z76" s="190">
        <f>IF(O76=0,0,IF((Y76/O76)&gt;Z73,O76*Z73,Y76))</f>
        <v>0</v>
      </c>
      <c r="AA76" s="190">
        <f>IF(O76=0,0,IF((Y76/O76)&gt;Z73,Y76-(O76*Z73),0))</f>
        <v>0</v>
      </c>
      <c r="AB76" s="214">
        <f>$AB$10</f>
        <v>6.25E-2</v>
      </c>
      <c r="AC76" s="181">
        <f>$AC$10</f>
        <v>0</v>
      </c>
      <c r="AD76" s="181">
        <f>$AD$10</f>
        <v>0</v>
      </c>
      <c r="AE76" s="181">
        <f>IF($G$6&gt;$AB$4,0,IF($AB$5=3,0,AB76-AC76))</f>
        <v>6.25E-2</v>
      </c>
      <c r="AF76" s="181">
        <f>IF($G$6&gt;$AB$4,0,IF($AB$5=3,0,AB76-AD76))</f>
        <v>6.25E-2</v>
      </c>
      <c r="AG76" s="182">
        <f>Z76*AE76*AG73</f>
        <v>0</v>
      </c>
      <c r="AH76" s="182">
        <f>AA76*AF76*AG73</f>
        <v>0</v>
      </c>
      <c r="AI76" s="182">
        <f>AG76+AH76</f>
        <v>0</v>
      </c>
    </row>
    <row r="77" spans="1:35">
      <c r="A77" s="583" t="s">
        <v>173</v>
      </c>
      <c r="B77" s="168" t="str">
        <f>"Sonstige Kosten: "&amp;Kalkulation_Eigenstrom!AP81&amp;""</f>
        <v>Sonstige Kosten: Steuererklärungen (Umsatz- / Ertragsteuer)</v>
      </c>
      <c r="C77" s="170"/>
      <c r="D77" s="170"/>
      <c r="E77" s="166"/>
      <c r="F77" s="166"/>
      <c r="G77" s="1798">
        <f>Kalkulation_Eigenstrom!AY81</f>
        <v>0</v>
      </c>
      <c r="H77" s="1799"/>
      <c r="I77" s="603">
        <f>ROUNDUP(G57*I76,0)</f>
        <v>0</v>
      </c>
      <c r="J77" s="577"/>
      <c r="K77" s="1778"/>
      <c r="L77" s="1782">
        <f>$L$11</f>
        <v>1000</v>
      </c>
      <c r="M77" s="1782"/>
      <c r="N77" s="180">
        <f>$N$11</f>
        <v>0</v>
      </c>
      <c r="O77" s="190">
        <f>$O$11</f>
        <v>0</v>
      </c>
      <c r="P77" s="190">
        <f>P79*N77</f>
        <v>0</v>
      </c>
      <c r="Q77" s="214">
        <f>$Q$11</f>
        <v>4.8800000000000003E-2</v>
      </c>
      <c r="R77" s="210">
        <f>$R$11</f>
        <v>0.05</v>
      </c>
      <c r="S77" s="182">
        <f>P77*Q77*S73</f>
        <v>0</v>
      </c>
      <c r="T77" s="182">
        <f>P77*R77*T73</f>
        <v>0</v>
      </c>
      <c r="U77" s="182">
        <f>S77+T77</f>
        <v>0</v>
      </c>
      <c r="V77" s="228" t="s">
        <v>238</v>
      </c>
      <c r="W77" s="230">
        <v>500</v>
      </c>
      <c r="X77" s="180">
        <f>N77</f>
        <v>0</v>
      </c>
      <c r="Y77" s="190">
        <f>Y78*N77</f>
        <v>0</v>
      </c>
      <c r="Z77" s="190">
        <f>IF(O77=0,0,IF((Y77/O77)&gt;Z73,O77*Z73,Y77))</f>
        <v>0</v>
      </c>
      <c r="AA77" s="190">
        <f>IF(O77=0,0,IF((Y77/O77)&gt;Z73,Y77-(O77*Z73),0))</f>
        <v>0</v>
      </c>
      <c r="AB77" s="214">
        <f>$AB$11</f>
        <v>4.8800000000000003E-2</v>
      </c>
      <c r="AC77" s="181">
        <f>$AC$11</f>
        <v>0</v>
      </c>
      <c r="AD77" s="181">
        <f>$AD$11</f>
        <v>0</v>
      </c>
      <c r="AE77" s="181">
        <f>IF($G$6&gt;$AB$4,0,IF($AB$5=3,0,AB77-AC77))</f>
        <v>4.8800000000000003E-2</v>
      </c>
      <c r="AF77" s="181">
        <f>IF($G$6&gt;$AB$4,0,IF($AB$5=3,0,AB77-AD77))</f>
        <v>4.8800000000000003E-2</v>
      </c>
      <c r="AG77" s="182">
        <f>Z77*AE77*AG73</f>
        <v>0</v>
      </c>
      <c r="AH77" s="182">
        <f>AA77*AF77*AG73</f>
        <v>0</v>
      </c>
      <c r="AI77" s="182">
        <f>AG77+AH77</f>
        <v>0</v>
      </c>
    </row>
    <row r="78" spans="1:35">
      <c r="A78" s="583" t="s">
        <v>173</v>
      </c>
      <c r="B78" s="174" t="str">
        <f>Kalkulation_Eigenstrom!AP83</f>
        <v/>
      </c>
      <c r="C78" s="170"/>
      <c r="D78" s="170"/>
      <c r="E78" s="166"/>
      <c r="F78" s="166"/>
      <c r="G78" s="1798">
        <f>Kalkulation_Eigenstrom!AY83</f>
        <v>0</v>
      </c>
      <c r="H78" s="1799"/>
      <c r="I78" s="844">
        <v>2E-3</v>
      </c>
      <c r="J78" s="577"/>
      <c r="K78" s="1778"/>
      <c r="L78" s="1783">
        <f>$L$12</f>
        <v>1000</v>
      </c>
      <c r="M78" s="1783"/>
      <c r="N78" s="180">
        <f>$N$12</f>
        <v>0</v>
      </c>
      <c r="O78" s="190">
        <f>$O$12</f>
        <v>0</v>
      </c>
      <c r="P78" s="190">
        <f>P79*N78</f>
        <v>0</v>
      </c>
      <c r="Q78" s="214">
        <f>$Q$12</f>
        <v>4.3999999999999997E-2</v>
      </c>
      <c r="R78" s="210">
        <f>$R$12</f>
        <v>0.05</v>
      </c>
      <c r="S78" s="182">
        <f>P78*Q78*S73</f>
        <v>0</v>
      </c>
      <c r="T78" s="182">
        <f>P78*R78*T73</f>
        <v>0</v>
      </c>
      <c r="U78" s="182">
        <f>S78+T78</f>
        <v>0</v>
      </c>
      <c r="V78" s="184"/>
      <c r="W78" s="185" t="str">
        <f>M79</f>
        <v xml:space="preserve"> gesamt</v>
      </c>
      <c r="X78" s="186">
        <f>N79</f>
        <v>1</v>
      </c>
      <c r="Y78" s="195">
        <f>O79-P79</f>
        <v>0</v>
      </c>
      <c r="Z78" s="195">
        <f>SUM(Z75:Z77)</f>
        <v>0</v>
      </c>
      <c r="AA78" s="195">
        <f>SUM(AA75:AA77)</f>
        <v>0</v>
      </c>
      <c r="AB78" s="215"/>
      <c r="AC78" s="216"/>
      <c r="AD78" s="196"/>
      <c r="AE78" s="196"/>
      <c r="AF78" s="196"/>
      <c r="AG78" s="196">
        <f>SUM(AG75:AG77)</f>
        <v>0</v>
      </c>
      <c r="AH78" s="196">
        <f>SUM(AH75:AH77)</f>
        <v>0</v>
      </c>
      <c r="AI78" s="216">
        <f>SUM(AI75:AI77)</f>
        <v>0</v>
      </c>
    </row>
    <row r="79" spans="1:35">
      <c r="A79" s="583" t="s">
        <v>173</v>
      </c>
      <c r="B79" s="168" t="s">
        <v>7</v>
      </c>
      <c r="C79" s="170"/>
      <c r="D79" s="170"/>
      <c r="E79" s="166"/>
      <c r="F79" s="166"/>
      <c r="G79" s="1788">
        <f>G76+G77+G78</f>
        <v>0</v>
      </c>
      <c r="H79" s="1787"/>
      <c r="I79" s="577"/>
      <c r="J79" s="577"/>
      <c r="K79" s="1778"/>
      <c r="L79" s="184"/>
      <c r="M79" s="185" t="s">
        <v>216</v>
      </c>
      <c r="N79" s="186">
        <f>SUM(N75:N78)</f>
        <v>1</v>
      </c>
      <c r="O79" s="195">
        <f>$O$13</f>
        <v>0</v>
      </c>
      <c r="P79" s="195">
        <f>O79*(1-K72)</f>
        <v>0</v>
      </c>
      <c r="Q79" s="215"/>
      <c r="R79" s="211"/>
      <c r="S79" s="196">
        <f>SUM(S75:S78)</f>
        <v>0</v>
      </c>
      <c r="T79" s="196">
        <f>SUM(T75:T78)</f>
        <v>0</v>
      </c>
      <c r="U79" s="196">
        <f>SUM(U75:U78)</f>
        <v>0</v>
      </c>
      <c r="V79" s="177"/>
      <c r="W79" s="178"/>
      <c r="X79" s="179"/>
      <c r="Y79" s="179"/>
      <c r="Z79" s="1784">
        <f>Z78+AA78</f>
        <v>0</v>
      </c>
      <c r="AA79" s="1785"/>
      <c r="AB79" s="197"/>
      <c r="AC79" s="197"/>
      <c r="AD79" s="177"/>
      <c r="AE79" s="177"/>
      <c r="AF79" s="177"/>
      <c r="AG79" s="1784">
        <f>AG78+AH78</f>
        <v>0</v>
      </c>
      <c r="AH79" s="1785"/>
      <c r="AI79" s="197"/>
    </row>
    <row r="80" spans="1:35">
      <c r="A80" s="583" t="s">
        <v>173</v>
      </c>
      <c r="B80" s="174" t="s">
        <v>321</v>
      </c>
      <c r="C80" s="170"/>
      <c r="D80" s="170"/>
      <c r="E80" s="166"/>
      <c r="F80" s="166"/>
      <c r="G80" s="1788">
        <f>G67+G71+G75+G79</f>
        <v>0</v>
      </c>
      <c r="H80" s="1787"/>
      <c r="I80" s="577"/>
      <c r="J80" s="577"/>
      <c r="K80" s="1779"/>
      <c r="L80" s="177"/>
      <c r="M80" s="178" t="s">
        <v>206</v>
      </c>
      <c r="N80" s="590"/>
      <c r="O80" s="179">
        <f>SUM(O75:O78)</f>
        <v>0</v>
      </c>
      <c r="P80" s="179">
        <f>SUM(P75:P78)</f>
        <v>0</v>
      </c>
      <c r="Q80" s="197"/>
      <c r="R80" s="197"/>
      <c r="S80" s="1784">
        <f>S79+T79</f>
        <v>0</v>
      </c>
      <c r="T80" s="1785"/>
      <c r="U80" s="225"/>
      <c r="V80" s="591"/>
      <c r="W80" s="577"/>
      <c r="X80" s="591"/>
      <c r="Y80" s="591"/>
      <c r="Z80" s="591"/>
      <c r="AA80" s="577"/>
      <c r="AB80" s="592">
        <f>IF(O79=0,0,Z78/O79)</f>
        <v>0</v>
      </c>
      <c r="AC80" s="592">
        <f>IF(O79=0,0,AA78/O79)</f>
        <v>0</v>
      </c>
      <c r="AD80" s="591"/>
      <c r="AE80" s="577"/>
      <c r="AF80" s="591"/>
      <c r="AG80" s="577"/>
      <c r="AH80" s="577"/>
      <c r="AI80" s="591"/>
    </row>
    <row r="81" spans="1:35">
      <c r="A81" s="583" t="s">
        <v>173</v>
      </c>
      <c r="B81" s="168" t="str">
        <f>"durchschn.jährl.Vergütung für verkauften Strom von 0 bis "&amp;G91&amp;"Jahre"</f>
        <v>durchschn.jährl.Vergütung für verkauften Strom von 0 bis 20Jahre</v>
      </c>
      <c r="C81" s="170"/>
      <c r="D81" s="170"/>
      <c r="E81" s="166"/>
      <c r="F81" s="166"/>
      <c r="G81" s="1788">
        <f>S13</f>
        <v>0</v>
      </c>
      <c r="H81" s="1787"/>
      <c r="I81" s="577"/>
      <c r="J81" s="577"/>
      <c r="K81" s="577"/>
      <c r="L81" s="198"/>
      <c r="M81" s="198"/>
      <c r="N81" s="199"/>
      <c r="O81" s="200"/>
      <c r="P81" s="201"/>
      <c r="Q81" s="202"/>
      <c r="R81" s="203"/>
      <c r="S81" s="204"/>
      <c r="T81" s="205"/>
      <c r="U81" s="206"/>
      <c r="V81" s="591"/>
      <c r="W81" s="577"/>
      <c r="X81" s="591"/>
      <c r="Y81" s="591"/>
      <c r="Z81" s="591"/>
      <c r="AA81" s="577"/>
      <c r="AB81" s="1775">
        <f>AB80+AC80</f>
        <v>0</v>
      </c>
      <c r="AC81" s="1776"/>
      <c r="AD81" s="593"/>
      <c r="AE81" s="577"/>
      <c r="AF81" s="591"/>
      <c r="AG81" s="577"/>
      <c r="AH81" s="577"/>
      <c r="AI81" s="577"/>
    </row>
    <row r="82" spans="1:35">
      <c r="A82" s="583" t="s">
        <v>173</v>
      </c>
      <c r="B82" s="168" t="str">
        <f>"durchschn.jährl.Vergütung für verkauften Strom von "&amp;G91&amp;" bis "&amp;G90&amp;"Jahre"</f>
        <v>durchschn.jährl.Vergütung für verkauften Strom von 20 bis 20Jahre</v>
      </c>
      <c r="C82" s="170"/>
      <c r="D82" s="170"/>
      <c r="E82" s="166"/>
      <c r="F82" s="166"/>
      <c r="G82" s="1788">
        <f>T13</f>
        <v>0</v>
      </c>
      <c r="H82" s="178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82"/>
      <c r="AH82" s="582"/>
      <c r="AI82" s="577"/>
    </row>
    <row r="83" spans="1:35">
      <c r="A83" s="583" t="s">
        <v>173</v>
      </c>
      <c r="B83" s="174" t="str">
        <f>Kalkulation_Eigenstrom!BE36</f>
        <v>Erlöse Stromverkauf / Netzeinspeisung; Æ jährlich</v>
      </c>
      <c r="C83" s="170"/>
      <c r="D83" s="170"/>
      <c r="E83" s="166"/>
      <c r="F83" s="166"/>
      <c r="G83" s="1788">
        <f>U13</f>
        <v>0</v>
      </c>
      <c r="H83" s="1787"/>
      <c r="I83" s="577"/>
      <c r="J83" s="577"/>
      <c r="K83" s="1777">
        <v>0.5</v>
      </c>
      <c r="L83" s="217" t="s">
        <v>213</v>
      </c>
      <c r="M83" s="175"/>
      <c r="N83" s="175"/>
      <c r="O83" s="187" t="s">
        <v>119</v>
      </c>
      <c r="P83" s="188" t="s">
        <v>215</v>
      </c>
      <c r="Q83" s="212" t="s">
        <v>5</v>
      </c>
      <c r="R83" s="208" t="s">
        <v>225</v>
      </c>
      <c r="S83" s="194" t="s">
        <v>123</v>
      </c>
      <c r="T83" s="194" t="s">
        <v>123</v>
      </c>
      <c r="U83" s="194" t="s">
        <v>204</v>
      </c>
      <c r="V83" s="217" t="s">
        <v>222</v>
      </c>
      <c r="W83" s="175"/>
      <c r="X83" s="175"/>
      <c r="Y83" s="188" t="s">
        <v>205</v>
      </c>
      <c r="Z83" s="188" t="s">
        <v>205</v>
      </c>
      <c r="AA83" s="188" t="s">
        <v>205</v>
      </c>
      <c r="AB83" s="212" t="s">
        <v>224</v>
      </c>
      <c r="AC83" s="193" t="s">
        <v>226</v>
      </c>
      <c r="AD83" s="193" t="s">
        <v>226</v>
      </c>
      <c r="AE83" s="193" t="s">
        <v>5</v>
      </c>
      <c r="AF83" s="193" t="s">
        <v>5</v>
      </c>
      <c r="AG83" s="224" t="s">
        <v>123</v>
      </c>
      <c r="AH83" s="224" t="s">
        <v>123</v>
      </c>
      <c r="AI83" s="194" t="s">
        <v>204</v>
      </c>
    </row>
    <row r="84" spans="1:35">
      <c r="A84" s="583" t="s">
        <v>173</v>
      </c>
      <c r="B84" s="168" t="str">
        <f>"durchschn.jährl.Eigenverbrauchsbonus von 0 bis "&amp;Z7*100&amp;"%"</f>
        <v>durchschn.jährl.Eigenverbrauchsbonus von 0 bis 30%</v>
      </c>
      <c r="C84" s="170"/>
      <c r="D84" s="170"/>
      <c r="E84" s="166"/>
      <c r="F84" s="166"/>
      <c r="G84" s="1788">
        <f>AG12</f>
        <v>0</v>
      </c>
      <c r="H84" s="1787"/>
      <c r="I84" s="577"/>
      <c r="J84" s="577"/>
      <c r="K84" s="1778"/>
      <c r="L84" s="175"/>
      <c r="M84" s="175"/>
      <c r="N84" s="176"/>
      <c r="O84" s="187" t="s">
        <v>204</v>
      </c>
      <c r="P84" s="189" t="s">
        <v>214</v>
      </c>
      <c r="Q84" s="584" t="str">
        <f>$Q$7</f>
        <v>0-20Jahre</v>
      </c>
      <c r="R84" s="585" t="str">
        <f>$R$7</f>
        <v>21-20 Jahre</v>
      </c>
      <c r="S84" s="586">
        <f>$S$7</f>
        <v>1</v>
      </c>
      <c r="T84" s="586">
        <f>$T$7</f>
        <v>0</v>
      </c>
      <c r="U84" s="587" t="str">
        <f>$U$7</f>
        <v>0-20 Jahre</v>
      </c>
      <c r="V84" s="175"/>
      <c r="W84" s="175"/>
      <c r="X84" s="176"/>
      <c r="Y84" s="191" t="s">
        <v>204</v>
      </c>
      <c r="Z84" s="219">
        <f>$Z$7</f>
        <v>0.3</v>
      </c>
      <c r="AA84" s="220">
        <f>Z84</f>
        <v>0.3</v>
      </c>
      <c r="AB84" s="584" t="str">
        <f>"0-"&amp;G179&amp;"Jahre"</f>
        <v>0-Jahre</v>
      </c>
      <c r="AC84" s="588" t="str">
        <f>"bis "&amp;Z84*100&amp;"%"</f>
        <v>bis 30%</v>
      </c>
      <c r="AD84" s="588" t="str">
        <f>"über "&amp;AA84*100&amp;"%"</f>
        <v>über 30%</v>
      </c>
      <c r="AE84" s="588" t="str">
        <f>"bis "&amp;Z84*100&amp;"%"</f>
        <v>bis 30%</v>
      </c>
      <c r="AF84" s="588" t="str">
        <f>"über "&amp;AA84*100&amp;"%"</f>
        <v>über 30%</v>
      </c>
      <c r="AG84" s="1780">
        <f>$AG$7</f>
        <v>1</v>
      </c>
      <c r="AH84" s="1781"/>
      <c r="AI84" s="588" t="str">
        <f>$AI$7</f>
        <v>0-20 Jahre</v>
      </c>
    </row>
    <row r="85" spans="1:35">
      <c r="A85" s="583" t="s">
        <v>173</v>
      </c>
      <c r="B85" s="168" t="str">
        <f>"durchschn.jährl.Eigenverbrauchsbonus über "&amp;Z7*100&amp;"%"</f>
        <v>durchschn.jährl.Eigenverbrauchsbonus über 30%</v>
      </c>
      <c r="C85" s="170"/>
      <c r="D85" s="170"/>
      <c r="E85" s="166"/>
      <c r="F85" s="166"/>
      <c r="G85" s="1788">
        <f>AH12</f>
        <v>0</v>
      </c>
      <c r="H85" s="1787"/>
      <c r="I85" s="577"/>
      <c r="J85" s="577"/>
      <c r="K85" s="1778"/>
      <c r="L85" s="175" t="str">
        <f>$L$8</f>
        <v>Dachanlage</v>
      </c>
      <c r="M85" s="175"/>
      <c r="N85" s="176" t="s">
        <v>104</v>
      </c>
      <c r="O85" s="187" t="s">
        <v>120</v>
      </c>
      <c r="P85" s="187" t="s">
        <v>120</v>
      </c>
      <c r="Q85" s="213" t="s">
        <v>122</v>
      </c>
      <c r="R85" s="209" t="s">
        <v>122</v>
      </c>
      <c r="S85" s="183" t="s">
        <v>124</v>
      </c>
      <c r="T85" s="183" t="s">
        <v>124</v>
      </c>
      <c r="U85" s="183" t="s">
        <v>124</v>
      </c>
      <c r="V85" s="223"/>
      <c r="W85" s="175"/>
      <c r="X85" s="176" t="str">
        <f>N85</f>
        <v>Anteile</v>
      </c>
      <c r="Y85" s="192" t="s">
        <v>120</v>
      </c>
      <c r="Z85" s="192" t="s">
        <v>120</v>
      </c>
      <c r="AA85" s="192" t="s">
        <v>120</v>
      </c>
      <c r="AB85" s="213" t="s">
        <v>122</v>
      </c>
      <c r="AC85" s="213" t="s">
        <v>122</v>
      </c>
      <c r="AD85" s="213" t="s">
        <v>122</v>
      </c>
      <c r="AE85" s="213" t="s">
        <v>122</v>
      </c>
      <c r="AF85" s="213" t="s">
        <v>122</v>
      </c>
      <c r="AG85" s="183" t="s">
        <v>124</v>
      </c>
      <c r="AH85" s="183" t="s">
        <v>124</v>
      </c>
      <c r="AI85" s="183" t="s">
        <v>124</v>
      </c>
    </row>
    <row r="86" spans="1:35">
      <c r="A86" s="583" t="s">
        <v>173</v>
      </c>
      <c r="B86" s="174" t="str">
        <f>Kalkulation_Eigenstrom!BE59</f>
        <v>Strom-Eigenverbrauchsbonus (01/2009 bis 03/2012)</v>
      </c>
      <c r="C86" s="170"/>
      <c r="D86" s="170"/>
      <c r="E86" s="166"/>
      <c r="F86" s="166"/>
      <c r="G86" s="1788">
        <f>AI12</f>
        <v>0</v>
      </c>
      <c r="H86" s="1787"/>
      <c r="I86" s="577"/>
      <c r="J86" s="577"/>
      <c r="K86" s="1778"/>
      <c r="L86" s="1782">
        <f>$L$9</f>
        <v>10</v>
      </c>
      <c r="M86" s="1782"/>
      <c r="N86" s="180">
        <f>$N$9</f>
        <v>1</v>
      </c>
      <c r="O86" s="190">
        <f>$O$9</f>
        <v>0</v>
      </c>
      <c r="P86" s="190">
        <f>P90*N86</f>
        <v>0</v>
      </c>
      <c r="Q86" s="214">
        <f>$Q$9</f>
        <v>6.4299999999999996E-2</v>
      </c>
      <c r="R86" s="210">
        <f>$R$9</f>
        <v>0.05</v>
      </c>
      <c r="S86" s="182">
        <f>P86*Q86*S84</f>
        <v>0</v>
      </c>
      <c r="T86" s="182">
        <f>P86*R86*T84</f>
        <v>0</v>
      </c>
      <c r="U86" s="182">
        <f>S86+T86</f>
        <v>0</v>
      </c>
      <c r="V86" s="228" t="s">
        <v>238</v>
      </c>
      <c r="W86" s="229">
        <f>L86</f>
        <v>10</v>
      </c>
      <c r="X86" s="180">
        <f>N86</f>
        <v>1</v>
      </c>
      <c r="Y86" s="190">
        <f>Y89*N86</f>
        <v>0</v>
      </c>
      <c r="Z86" s="190">
        <f>IF(O86=0,0,IF((Y86/O86)&gt;Z84,O86*Z84,Y86))</f>
        <v>0</v>
      </c>
      <c r="AA86" s="190">
        <f>IF(O86=0,0,IF((Y86/O86)&gt;Z84,Y86-(O86*Z84),0))</f>
        <v>0</v>
      </c>
      <c r="AB86" s="214">
        <f>$AB$9</f>
        <v>6.4299999999999996E-2</v>
      </c>
      <c r="AC86" s="181">
        <f>$AC$9</f>
        <v>0</v>
      </c>
      <c r="AD86" s="181">
        <f>$AD$9</f>
        <v>0</v>
      </c>
      <c r="AE86" s="181">
        <f>IF($G$6&gt;$AB$4,0,IF($AB$5=3,0,AB86-AC86))</f>
        <v>6.4299999999999996E-2</v>
      </c>
      <c r="AF86" s="181">
        <f>IF($G$6&gt;$AB$4,0,IF($AB$5=3,0,AB86-AD86))</f>
        <v>6.4299999999999996E-2</v>
      </c>
      <c r="AG86" s="182">
        <f>Z86*AE86*AG84</f>
        <v>0</v>
      </c>
      <c r="AH86" s="182">
        <f>AA86*AF86*AG84</f>
        <v>0</v>
      </c>
      <c r="AI86" s="182">
        <f>AG86+AH86</f>
        <v>0</v>
      </c>
    </row>
    <row r="87" spans="1:35">
      <c r="A87" s="583" t="s">
        <v>173</v>
      </c>
      <c r="B87" s="174" t="s">
        <v>322</v>
      </c>
      <c r="C87" s="170"/>
      <c r="D87" s="170"/>
      <c r="E87" s="166"/>
      <c r="F87" s="166"/>
      <c r="G87" s="1796">
        <f>G80-G83-G86</f>
        <v>0</v>
      </c>
      <c r="H87" s="1797"/>
      <c r="I87" s="577"/>
      <c r="J87" s="577"/>
      <c r="K87" s="1778"/>
      <c r="L87" s="1782">
        <f>$L$10</f>
        <v>40</v>
      </c>
      <c r="M87" s="1782"/>
      <c r="N87" s="180">
        <f>$N$10</f>
        <v>0</v>
      </c>
      <c r="O87" s="190">
        <f>$O$10</f>
        <v>0</v>
      </c>
      <c r="P87" s="190">
        <f>P90*N87</f>
        <v>0</v>
      </c>
      <c r="Q87" s="214">
        <f>$Q$10</f>
        <v>6.25E-2</v>
      </c>
      <c r="R87" s="210">
        <f>$R$10</f>
        <v>0.05</v>
      </c>
      <c r="S87" s="182">
        <f>P87*Q87*S84</f>
        <v>0</v>
      </c>
      <c r="T87" s="182">
        <f>P87*R87*T84</f>
        <v>0</v>
      </c>
      <c r="U87" s="182">
        <f>S87+T87</f>
        <v>0</v>
      </c>
      <c r="V87" s="228" t="s">
        <v>238</v>
      </c>
      <c r="W87" s="229">
        <f>L87</f>
        <v>40</v>
      </c>
      <c r="X87" s="180">
        <f>N87</f>
        <v>0</v>
      </c>
      <c r="Y87" s="190">
        <f>Y89*N87</f>
        <v>0</v>
      </c>
      <c r="Z87" s="190">
        <f>IF(O87=0,0,IF((Y87/O87)&gt;Z84,O87*Z84,Y87))</f>
        <v>0</v>
      </c>
      <c r="AA87" s="190">
        <f>IF(O87=0,0,IF((Y87/O87)&gt;Z84,Y87-(O87*Z84),0))</f>
        <v>0</v>
      </c>
      <c r="AB87" s="214">
        <f>$AB$10</f>
        <v>6.25E-2</v>
      </c>
      <c r="AC87" s="181">
        <f>$AC$10</f>
        <v>0</v>
      </c>
      <c r="AD87" s="181">
        <f>$AD$10</f>
        <v>0</v>
      </c>
      <c r="AE87" s="181">
        <f>IF($G$6&gt;$AB$4,0,IF($AB$5=3,0,AB87-AC87))</f>
        <v>6.25E-2</v>
      </c>
      <c r="AF87" s="181">
        <f>IF($G$6&gt;$AB$4,0,IF($AB$5=3,0,AB87-AD87))</f>
        <v>6.25E-2</v>
      </c>
      <c r="AG87" s="182">
        <f>Z87*AE87*AG84</f>
        <v>0</v>
      </c>
      <c r="AH87" s="182">
        <f>AA87*AF87*AG84</f>
        <v>0</v>
      </c>
      <c r="AI87" s="182">
        <f>AG87+AH87</f>
        <v>0</v>
      </c>
    </row>
    <row r="88" spans="1:35">
      <c r="A88" s="583" t="s">
        <v>173</v>
      </c>
      <c r="B88" s="168" t="s">
        <v>549</v>
      </c>
      <c r="C88" s="170"/>
      <c r="D88" s="170"/>
      <c r="E88" s="166"/>
      <c r="F88" s="166"/>
      <c r="G88" s="1769">
        <f>IF(G31=0,0,G87/G30)</f>
        <v>0</v>
      </c>
      <c r="H88" s="1770" t="e">
        <f>G87/G30</f>
        <v>#DIV/0!</v>
      </c>
      <c r="I88" s="577"/>
      <c r="J88" s="577"/>
      <c r="K88" s="1778"/>
      <c r="L88" s="1782">
        <f>$L$11</f>
        <v>1000</v>
      </c>
      <c r="M88" s="1782"/>
      <c r="N88" s="180">
        <f>$N$11</f>
        <v>0</v>
      </c>
      <c r="O88" s="190">
        <f>$O$11</f>
        <v>0</v>
      </c>
      <c r="P88" s="190">
        <f>P90*N88</f>
        <v>0</v>
      </c>
      <c r="Q88" s="214">
        <f>$Q$11</f>
        <v>4.8800000000000003E-2</v>
      </c>
      <c r="R88" s="210">
        <f>$R$11</f>
        <v>0.05</v>
      </c>
      <c r="S88" s="182">
        <f>P88*Q88*S84</f>
        <v>0</v>
      </c>
      <c r="T88" s="182">
        <f>P88*R88*T84</f>
        <v>0</v>
      </c>
      <c r="U88" s="182">
        <f>S88+T88</f>
        <v>0</v>
      </c>
      <c r="V88" s="228" t="s">
        <v>238</v>
      </c>
      <c r="W88" s="230">
        <v>500</v>
      </c>
      <c r="X88" s="180">
        <f>N88</f>
        <v>0</v>
      </c>
      <c r="Y88" s="190">
        <f>Y89*N88</f>
        <v>0</v>
      </c>
      <c r="Z88" s="190">
        <f>IF(O88=0,0,IF((Y88/O88)&gt;Z84,O88*Z84,Y88))</f>
        <v>0</v>
      </c>
      <c r="AA88" s="190">
        <f>IF(O88=0,0,IF((Y88/O88)&gt;Z84,Y88-(O88*Z84),0))</f>
        <v>0</v>
      </c>
      <c r="AB88" s="214">
        <f>$AB$11</f>
        <v>4.8800000000000003E-2</v>
      </c>
      <c r="AC88" s="181">
        <f>$AC$11</f>
        <v>0</v>
      </c>
      <c r="AD88" s="181">
        <f>$AD$11</f>
        <v>0</v>
      </c>
      <c r="AE88" s="181">
        <f>IF($G$6&gt;$AB$4,0,IF($AB$5=3,0,AB88-AC88))</f>
        <v>4.8800000000000003E-2</v>
      </c>
      <c r="AF88" s="181">
        <f>IF($G$6&gt;$AB$4,0,IF($AB$5=3,0,AB88-AD88))</f>
        <v>4.8800000000000003E-2</v>
      </c>
      <c r="AG88" s="182">
        <f>Z88*AE88*AG84</f>
        <v>0</v>
      </c>
      <c r="AH88" s="182">
        <f>AA88*AF88*AG84</f>
        <v>0</v>
      </c>
      <c r="AI88" s="182">
        <f>AG88+AH88</f>
        <v>0</v>
      </c>
    </row>
    <row r="89" spans="1:35">
      <c r="A89" s="577"/>
      <c r="B89" s="168"/>
      <c r="C89" s="170"/>
      <c r="D89" s="170"/>
      <c r="E89" s="166"/>
      <c r="F89" s="166"/>
      <c r="G89" s="518"/>
      <c r="H89" s="519"/>
      <c r="I89" s="577"/>
      <c r="J89" s="577"/>
      <c r="K89" s="1778"/>
      <c r="L89" s="1783">
        <f>$L$12</f>
        <v>1000</v>
      </c>
      <c r="M89" s="1783"/>
      <c r="N89" s="180">
        <f>$N$12</f>
        <v>0</v>
      </c>
      <c r="O89" s="190">
        <f>$O$12</f>
        <v>0</v>
      </c>
      <c r="P89" s="190">
        <f>P90*N89</f>
        <v>0</v>
      </c>
      <c r="Q89" s="214">
        <f>$Q$12</f>
        <v>4.3999999999999997E-2</v>
      </c>
      <c r="R89" s="210">
        <f>$R$12</f>
        <v>0.05</v>
      </c>
      <c r="S89" s="182">
        <f>P89*Q89*S84</f>
        <v>0</v>
      </c>
      <c r="T89" s="182">
        <f>P89*R89*T84</f>
        <v>0</v>
      </c>
      <c r="U89" s="182">
        <f>S89+T89</f>
        <v>0</v>
      </c>
      <c r="V89" s="184"/>
      <c r="W89" s="185" t="str">
        <f>M90</f>
        <v xml:space="preserve"> gesamt</v>
      </c>
      <c r="X89" s="186">
        <f>N90</f>
        <v>1</v>
      </c>
      <c r="Y89" s="195">
        <f>O90-P90</f>
        <v>0</v>
      </c>
      <c r="Z89" s="195">
        <f>SUM(Z86:Z88)</f>
        <v>0</v>
      </c>
      <c r="AA89" s="195">
        <f>SUM(AA86:AA88)</f>
        <v>0</v>
      </c>
      <c r="AB89" s="215"/>
      <c r="AC89" s="216"/>
      <c r="AD89" s="196"/>
      <c r="AE89" s="196"/>
      <c r="AF89" s="196"/>
      <c r="AG89" s="196">
        <f>SUM(AG86:AG88)</f>
        <v>0</v>
      </c>
      <c r="AH89" s="196">
        <f>SUM(AH86:AH88)</f>
        <v>0</v>
      </c>
      <c r="AI89" s="216">
        <f>SUM(AI86:AI88)</f>
        <v>0</v>
      </c>
    </row>
    <row r="90" spans="1:35">
      <c r="A90" s="583" t="s">
        <v>173</v>
      </c>
      <c r="B90" s="168" t="str">
        <f>B21</f>
        <v>Anlagenlaufzeit  (Laufzeit Module)</v>
      </c>
      <c r="C90" s="170"/>
      <c r="D90" s="170"/>
      <c r="E90" s="166"/>
      <c r="F90" s="166"/>
      <c r="G90" s="1802">
        <f>G21</f>
        <v>20</v>
      </c>
      <c r="H90" s="1803"/>
      <c r="I90" s="577"/>
      <c r="J90" s="577"/>
      <c r="K90" s="1778"/>
      <c r="L90" s="184"/>
      <c r="M90" s="185" t="s">
        <v>216</v>
      </c>
      <c r="N90" s="186">
        <f>SUM(N86:N89)</f>
        <v>1</v>
      </c>
      <c r="O90" s="195">
        <f>$O$13</f>
        <v>0</v>
      </c>
      <c r="P90" s="195">
        <f>O90*(1-K83)</f>
        <v>0</v>
      </c>
      <c r="Q90" s="215"/>
      <c r="R90" s="211"/>
      <c r="S90" s="196">
        <f>SUM(S86:S89)</f>
        <v>0</v>
      </c>
      <c r="T90" s="196">
        <f>SUM(T86:T89)</f>
        <v>0</v>
      </c>
      <c r="U90" s="196">
        <f>SUM(U86:U89)</f>
        <v>0</v>
      </c>
      <c r="V90" s="177"/>
      <c r="W90" s="178"/>
      <c r="X90" s="179"/>
      <c r="Y90" s="179"/>
      <c r="Z90" s="1784">
        <f>Z89+AA89</f>
        <v>0</v>
      </c>
      <c r="AA90" s="1785"/>
      <c r="AB90" s="197"/>
      <c r="AC90" s="197"/>
      <c r="AD90" s="177"/>
      <c r="AE90" s="177"/>
      <c r="AF90" s="177"/>
      <c r="AG90" s="1784">
        <f>AG89+AH89</f>
        <v>0</v>
      </c>
      <c r="AH90" s="1785"/>
      <c r="AI90" s="197"/>
    </row>
    <row r="91" spans="1:35">
      <c r="A91" s="583" t="s">
        <v>173</v>
      </c>
      <c r="B91" s="168" t="s">
        <v>217</v>
      </c>
      <c r="C91" s="170"/>
      <c r="D91" s="170"/>
      <c r="E91" s="166"/>
      <c r="F91" s="166"/>
      <c r="G91" s="1802">
        <v>20</v>
      </c>
      <c r="H91" s="1803"/>
      <c r="I91" s="577"/>
      <c r="J91" s="577"/>
      <c r="K91" s="1779"/>
      <c r="L91" s="177"/>
      <c r="M91" s="178" t="s">
        <v>206</v>
      </c>
      <c r="N91" s="590"/>
      <c r="O91" s="179">
        <f>SUM(O86:O89)</f>
        <v>0</v>
      </c>
      <c r="P91" s="179">
        <f>SUM(P86:P89)</f>
        <v>0</v>
      </c>
      <c r="Q91" s="197"/>
      <c r="R91" s="197"/>
      <c r="S91" s="1784">
        <f>S90+T90</f>
        <v>0</v>
      </c>
      <c r="T91" s="1785"/>
      <c r="U91" s="225"/>
      <c r="V91" s="591"/>
      <c r="W91" s="577"/>
      <c r="X91" s="591"/>
      <c r="Y91" s="591"/>
      <c r="Z91" s="591"/>
      <c r="AA91" s="577"/>
      <c r="AB91" s="592">
        <f>IF(O90=0,0,Z89/O90)</f>
        <v>0</v>
      </c>
      <c r="AC91" s="592">
        <f>IF(O90=0,0,AA89/O90)</f>
        <v>0</v>
      </c>
      <c r="AD91" s="591"/>
      <c r="AE91" s="577"/>
      <c r="AF91" s="591"/>
      <c r="AG91" s="577"/>
      <c r="AH91" s="577"/>
      <c r="AI91" s="591"/>
    </row>
    <row r="92" spans="1:35">
      <c r="A92" s="583" t="s">
        <v>173</v>
      </c>
      <c r="B92" s="168" t="s">
        <v>218</v>
      </c>
      <c r="C92" s="170"/>
      <c r="D92" s="170"/>
      <c r="E92" s="166"/>
      <c r="F92" s="166"/>
      <c r="G92" s="1794">
        <f>G91/G90</f>
        <v>1</v>
      </c>
      <c r="H92" s="1795"/>
      <c r="I92" s="577"/>
      <c r="J92" s="577"/>
      <c r="K92" s="577"/>
      <c r="L92" s="198"/>
      <c r="M92" s="198"/>
      <c r="N92" s="199"/>
      <c r="O92" s="200"/>
      <c r="P92" s="201"/>
      <c r="Q92" s="202"/>
      <c r="R92" s="203"/>
      <c r="S92" s="204"/>
      <c r="T92" s="205"/>
      <c r="U92" s="206"/>
      <c r="V92" s="591"/>
      <c r="W92" s="577"/>
      <c r="X92" s="591"/>
      <c r="Y92" s="591"/>
      <c r="Z92" s="591"/>
      <c r="AA92" s="577"/>
      <c r="AB92" s="1775">
        <f>AB91+AC91</f>
        <v>0</v>
      </c>
      <c r="AC92" s="1776"/>
      <c r="AD92" s="593"/>
      <c r="AE92" s="577"/>
      <c r="AF92" s="591"/>
      <c r="AG92" s="577"/>
      <c r="AH92" s="577"/>
      <c r="AI92" s="577"/>
    </row>
    <row r="93" spans="1:35">
      <c r="A93" s="583" t="s">
        <v>173</v>
      </c>
      <c r="B93" s="168" t="s">
        <v>219</v>
      </c>
      <c r="C93" s="170"/>
      <c r="D93" s="170"/>
      <c r="E93" s="166"/>
      <c r="F93" s="166"/>
      <c r="G93" s="1794">
        <f>1-G92</f>
        <v>0</v>
      </c>
      <c r="H93" s="1795"/>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82"/>
      <c r="AH93" s="582"/>
      <c r="AI93" s="577"/>
    </row>
    <row r="94" spans="1:35">
      <c r="A94" s="583" t="s">
        <v>173</v>
      </c>
      <c r="B94" s="168" t="s">
        <v>220</v>
      </c>
      <c r="C94" s="170"/>
      <c r="D94" s="170"/>
      <c r="E94" s="166"/>
      <c r="F94" s="166"/>
      <c r="G94" s="1789">
        <f>Kalkulation_Eigenstrom!BJ51</f>
        <v>0.05</v>
      </c>
      <c r="H94" s="1790"/>
      <c r="I94" s="577"/>
      <c r="J94" s="577"/>
      <c r="K94" s="1777">
        <v>0.6</v>
      </c>
      <c r="L94" s="217" t="s">
        <v>213</v>
      </c>
      <c r="M94" s="175"/>
      <c r="N94" s="175"/>
      <c r="O94" s="187" t="s">
        <v>119</v>
      </c>
      <c r="P94" s="188" t="s">
        <v>215</v>
      </c>
      <c r="Q94" s="212" t="s">
        <v>5</v>
      </c>
      <c r="R94" s="208" t="s">
        <v>225</v>
      </c>
      <c r="S94" s="194" t="s">
        <v>123</v>
      </c>
      <c r="T94" s="194" t="s">
        <v>123</v>
      </c>
      <c r="U94" s="194" t="s">
        <v>204</v>
      </c>
      <c r="V94" s="217" t="s">
        <v>222</v>
      </c>
      <c r="W94" s="175"/>
      <c r="X94" s="175"/>
      <c r="Y94" s="188" t="s">
        <v>205</v>
      </c>
      <c r="Z94" s="188" t="s">
        <v>205</v>
      </c>
      <c r="AA94" s="188" t="s">
        <v>205</v>
      </c>
      <c r="AB94" s="212" t="s">
        <v>224</v>
      </c>
      <c r="AC94" s="193" t="s">
        <v>226</v>
      </c>
      <c r="AD94" s="193" t="s">
        <v>226</v>
      </c>
      <c r="AE94" s="193" t="s">
        <v>5</v>
      </c>
      <c r="AF94" s="193" t="s">
        <v>5</v>
      </c>
      <c r="AG94" s="224" t="s">
        <v>123</v>
      </c>
      <c r="AH94" s="224" t="s">
        <v>123</v>
      </c>
      <c r="AI94" s="194" t="s">
        <v>204</v>
      </c>
    </row>
    <row r="95" spans="1:35">
      <c r="A95" s="583" t="s">
        <v>173</v>
      </c>
      <c r="B95" s="168" t="s">
        <v>175</v>
      </c>
      <c r="C95" s="170"/>
      <c r="D95" s="170"/>
      <c r="E95" s="166"/>
      <c r="F95" s="169"/>
      <c r="G95" s="1771">
        <f>A170</f>
        <v>8</v>
      </c>
      <c r="H95" s="1772"/>
      <c r="I95" s="577"/>
      <c r="J95" s="577"/>
      <c r="K95" s="1778"/>
      <c r="L95" s="175"/>
      <c r="M95" s="175"/>
      <c r="N95" s="176"/>
      <c r="O95" s="187" t="s">
        <v>204</v>
      </c>
      <c r="P95" s="189" t="s">
        <v>214</v>
      </c>
      <c r="Q95" s="584" t="str">
        <f>$Q$7</f>
        <v>0-20Jahre</v>
      </c>
      <c r="R95" s="585" t="str">
        <f>$R$7</f>
        <v>21-20 Jahre</v>
      </c>
      <c r="S95" s="586">
        <f>$S$7</f>
        <v>1</v>
      </c>
      <c r="T95" s="586">
        <f>$T$7</f>
        <v>0</v>
      </c>
      <c r="U95" s="587" t="str">
        <f>$U$7</f>
        <v>0-20 Jahre</v>
      </c>
      <c r="V95" s="175"/>
      <c r="W95" s="175"/>
      <c r="X95" s="176"/>
      <c r="Y95" s="191" t="s">
        <v>204</v>
      </c>
      <c r="Z95" s="219">
        <f>$Z$7</f>
        <v>0.3</v>
      </c>
      <c r="AA95" s="220">
        <f>Z95</f>
        <v>0.3</v>
      </c>
      <c r="AB95" s="584" t="str">
        <f>"0-"&amp;G190&amp;"Jahre"</f>
        <v>0-Jahre</v>
      </c>
      <c r="AC95" s="588" t="str">
        <f>"bis "&amp;Z95*100&amp;"%"</f>
        <v>bis 30%</v>
      </c>
      <c r="AD95" s="588" t="str">
        <f>"über "&amp;AA95*100&amp;"%"</f>
        <v>über 30%</v>
      </c>
      <c r="AE95" s="588" t="str">
        <f>"bis "&amp;Z95*100&amp;"%"</f>
        <v>bis 30%</v>
      </c>
      <c r="AF95" s="588" t="str">
        <f>"über "&amp;AA95*100&amp;"%"</f>
        <v>über 30%</v>
      </c>
      <c r="AG95" s="1780">
        <f>$AG$7</f>
        <v>1</v>
      </c>
      <c r="AH95" s="1781"/>
      <c r="AI95" s="588" t="str">
        <f>$AI$7</f>
        <v>0-20 Jahre</v>
      </c>
    </row>
    <row r="96" spans="1:35">
      <c r="A96" s="583" t="s">
        <v>173</v>
      </c>
      <c r="B96" s="1791" t="str">
        <f>VLOOKUP(G95,C171:F178,4,FALSE)</f>
        <v>keine Anlage erfasst !!</v>
      </c>
      <c r="C96" s="1792"/>
      <c r="D96" s="1792"/>
      <c r="E96" s="1792"/>
      <c r="F96" s="1792"/>
      <c r="G96" s="1792"/>
      <c r="H96" s="1793"/>
      <c r="I96" s="577"/>
      <c r="J96" s="577"/>
      <c r="K96" s="1778"/>
      <c r="L96" s="175" t="str">
        <f>$L$8</f>
        <v>Dachanlage</v>
      </c>
      <c r="M96" s="175"/>
      <c r="N96" s="176" t="s">
        <v>104</v>
      </c>
      <c r="O96" s="187" t="s">
        <v>120</v>
      </c>
      <c r="P96" s="187" t="s">
        <v>120</v>
      </c>
      <c r="Q96" s="213" t="s">
        <v>122</v>
      </c>
      <c r="R96" s="209" t="s">
        <v>122</v>
      </c>
      <c r="S96" s="183" t="s">
        <v>124</v>
      </c>
      <c r="T96" s="183" t="s">
        <v>124</v>
      </c>
      <c r="U96" s="183" t="s">
        <v>124</v>
      </c>
      <c r="V96" s="223"/>
      <c r="W96" s="175"/>
      <c r="X96" s="176" t="str">
        <f>N96</f>
        <v>Anteile</v>
      </c>
      <c r="Y96" s="192" t="s">
        <v>120</v>
      </c>
      <c r="Z96" s="192" t="s">
        <v>120</v>
      </c>
      <c r="AA96" s="192" t="s">
        <v>120</v>
      </c>
      <c r="AB96" s="213" t="s">
        <v>122</v>
      </c>
      <c r="AC96" s="213" t="s">
        <v>122</v>
      </c>
      <c r="AD96" s="213" t="s">
        <v>122</v>
      </c>
      <c r="AE96" s="213" t="s">
        <v>122</v>
      </c>
      <c r="AF96" s="213" t="s">
        <v>122</v>
      </c>
      <c r="AG96" s="183" t="s">
        <v>124</v>
      </c>
      <c r="AH96" s="183" t="s">
        <v>124</v>
      </c>
      <c r="AI96" s="183" t="s">
        <v>124</v>
      </c>
    </row>
    <row r="97" spans="1:35">
      <c r="A97" s="583" t="s">
        <v>173</v>
      </c>
      <c r="B97" s="168" t="s">
        <v>237</v>
      </c>
      <c r="C97" s="170"/>
      <c r="D97" s="170"/>
      <c r="E97" s="166"/>
      <c r="F97" s="169"/>
      <c r="G97" s="1771">
        <f>B170</f>
        <v>3</v>
      </c>
      <c r="H97" s="1772"/>
      <c r="I97" s="577"/>
      <c r="J97" s="577"/>
      <c r="K97" s="1778"/>
      <c r="L97" s="1782">
        <f>$L$9</f>
        <v>10</v>
      </c>
      <c r="M97" s="1782"/>
      <c r="N97" s="180">
        <f>$N$9</f>
        <v>1</v>
      </c>
      <c r="O97" s="190">
        <f>$O$9</f>
        <v>0</v>
      </c>
      <c r="P97" s="190">
        <f>P101*N97</f>
        <v>0</v>
      </c>
      <c r="Q97" s="214">
        <f>$Q$9</f>
        <v>6.4299999999999996E-2</v>
      </c>
      <c r="R97" s="210">
        <f>$R$9</f>
        <v>0.05</v>
      </c>
      <c r="S97" s="182">
        <f>P97*Q97*S95</f>
        <v>0</v>
      </c>
      <c r="T97" s="182">
        <f>P97*R97*T95</f>
        <v>0</v>
      </c>
      <c r="U97" s="182">
        <f>S97+T97</f>
        <v>0</v>
      </c>
      <c r="V97" s="228" t="s">
        <v>238</v>
      </c>
      <c r="W97" s="229">
        <f>L97</f>
        <v>10</v>
      </c>
      <c r="X97" s="180">
        <f>N97</f>
        <v>1</v>
      </c>
      <c r="Y97" s="190">
        <f>Y100*N97</f>
        <v>0</v>
      </c>
      <c r="Z97" s="190">
        <f>IF(O97=0,0,IF((Y97/O97)&gt;Z95,O97*Z95,Y97))</f>
        <v>0</v>
      </c>
      <c r="AA97" s="190">
        <f>IF(O97=0,0,IF((Y97/O97)&gt;Z95,Y97-(O97*Z95),0))</f>
        <v>0</v>
      </c>
      <c r="AB97" s="214">
        <f>$AB$9</f>
        <v>6.4299999999999996E-2</v>
      </c>
      <c r="AC97" s="181">
        <f>$AC$9</f>
        <v>0</v>
      </c>
      <c r="AD97" s="181">
        <f>$AD$9</f>
        <v>0</v>
      </c>
      <c r="AE97" s="181">
        <f>IF($G$6&gt;$AB$4,0,IF($AB$5=3,0,AB97-AC97))</f>
        <v>6.4299999999999996E-2</v>
      </c>
      <c r="AF97" s="181">
        <f>IF($G$6&gt;$AB$4,0,IF($AB$5=3,0,AB97-AD97))</f>
        <v>6.4299999999999996E-2</v>
      </c>
      <c r="AG97" s="182">
        <f>Z97*AE97*AG95</f>
        <v>0</v>
      </c>
      <c r="AH97" s="182">
        <f>AA97*AF97*AG95</f>
        <v>0</v>
      </c>
      <c r="AI97" s="182">
        <f>AG97+AH97</f>
        <v>0</v>
      </c>
    </row>
    <row r="98" spans="1:35">
      <c r="A98" s="577"/>
      <c r="B98" s="577"/>
      <c r="C98" s="577"/>
      <c r="D98" s="577"/>
      <c r="E98" s="577"/>
      <c r="F98" s="577"/>
      <c r="G98" s="577"/>
      <c r="H98" s="577"/>
      <c r="I98" s="577"/>
      <c r="J98" s="577"/>
      <c r="K98" s="1778"/>
      <c r="L98" s="1782">
        <f>$L$10</f>
        <v>40</v>
      </c>
      <c r="M98" s="1782"/>
      <c r="N98" s="180">
        <f>$N$10</f>
        <v>0</v>
      </c>
      <c r="O98" s="190">
        <f>$O$10</f>
        <v>0</v>
      </c>
      <c r="P98" s="190">
        <f>P101*N98</f>
        <v>0</v>
      </c>
      <c r="Q98" s="214">
        <f>$Q$10</f>
        <v>6.25E-2</v>
      </c>
      <c r="R98" s="210">
        <f>$R$10</f>
        <v>0.05</v>
      </c>
      <c r="S98" s="182">
        <f>P98*Q98*S95</f>
        <v>0</v>
      </c>
      <c r="T98" s="182">
        <f>P98*R98*T95</f>
        <v>0</v>
      </c>
      <c r="U98" s="182">
        <f>S98+T98</f>
        <v>0</v>
      </c>
      <c r="V98" s="228" t="s">
        <v>238</v>
      </c>
      <c r="W98" s="229">
        <f>L98</f>
        <v>40</v>
      </c>
      <c r="X98" s="180">
        <f>N98</f>
        <v>0</v>
      </c>
      <c r="Y98" s="190">
        <f>Y100*N98</f>
        <v>0</v>
      </c>
      <c r="Z98" s="190">
        <f>IF(O98=0,0,IF((Y98/O98)&gt;Z95,O98*Z95,Y98))</f>
        <v>0</v>
      </c>
      <c r="AA98" s="190">
        <f>IF(O98=0,0,IF((Y98/O98)&gt;Z95,Y98-(O98*Z95),0))</f>
        <v>0</v>
      </c>
      <c r="AB98" s="214">
        <f>$AB$10</f>
        <v>6.25E-2</v>
      </c>
      <c r="AC98" s="181">
        <f>$AC$10</f>
        <v>0</v>
      </c>
      <c r="AD98" s="181">
        <f>$AD$10</f>
        <v>0</v>
      </c>
      <c r="AE98" s="181">
        <f>IF($G$6&gt;$AB$4,0,IF($AB$5=3,0,AB98-AC98))</f>
        <v>6.25E-2</v>
      </c>
      <c r="AF98" s="181">
        <f>IF($G$6&gt;$AB$4,0,IF($AB$5=3,0,AB98-AD98))</f>
        <v>6.25E-2</v>
      </c>
      <c r="AG98" s="182">
        <f>Z98*AE98*AG95</f>
        <v>0</v>
      </c>
      <c r="AH98" s="182">
        <f>AA98*AF98*AG95</f>
        <v>0</v>
      </c>
      <c r="AI98" s="182">
        <f>AG98+AH98</f>
        <v>0</v>
      </c>
    </row>
    <row r="99" spans="1:35">
      <c r="A99" s="583" t="s">
        <v>173</v>
      </c>
      <c r="B99" s="168" t="s">
        <v>243</v>
      </c>
      <c r="C99" s="170"/>
      <c r="D99" s="170"/>
      <c r="E99" s="166"/>
      <c r="F99" s="166"/>
      <c r="G99" s="1789">
        <f>Kalkulation_Eigenstrom!CW61</f>
        <v>0.21</v>
      </c>
      <c r="H99" s="1790"/>
      <c r="I99" s="577"/>
      <c r="J99" s="577"/>
      <c r="K99" s="1778"/>
      <c r="L99" s="1782">
        <f>$L$11</f>
        <v>1000</v>
      </c>
      <c r="M99" s="1782"/>
      <c r="N99" s="180">
        <f>$N$11</f>
        <v>0</v>
      </c>
      <c r="O99" s="190">
        <f>$O$11</f>
        <v>0</v>
      </c>
      <c r="P99" s="190">
        <f>P101*N99</f>
        <v>0</v>
      </c>
      <c r="Q99" s="214">
        <f>$Q$11</f>
        <v>4.8800000000000003E-2</v>
      </c>
      <c r="R99" s="210">
        <f>$R$11</f>
        <v>0.05</v>
      </c>
      <c r="S99" s="182">
        <f>P99*Q99*S95</f>
        <v>0</v>
      </c>
      <c r="T99" s="182">
        <f>P99*R99*T95</f>
        <v>0</v>
      </c>
      <c r="U99" s="182">
        <f>S99+T99</f>
        <v>0</v>
      </c>
      <c r="V99" s="228" t="s">
        <v>238</v>
      </c>
      <c r="W99" s="230">
        <v>500</v>
      </c>
      <c r="X99" s="180">
        <f>N99</f>
        <v>0</v>
      </c>
      <c r="Y99" s="190">
        <f>Y100*N99</f>
        <v>0</v>
      </c>
      <c r="Z99" s="190">
        <f>IF(O99=0,0,IF((Y99/O99)&gt;Z95,O99*Z95,Y99))</f>
        <v>0</v>
      </c>
      <c r="AA99" s="190">
        <f>IF(O99=0,0,IF((Y99/O99)&gt;Z95,Y99-(O99*Z95),0))</f>
        <v>0</v>
      </c>
      <c r="AB99" s="214">
        <f>$AB$11</f>
        <v>4.8800000000000003E-2</v>
      </c>
      <c r="AC99" s="181">
        <f>$AC$11</f>
        <v>0</v>
      </c>
      <c r="AD99" s="181">
        <f>$AD$11</f>
        <v>0</v>
      </c>
      <c r="AE99" s="181">
        <f>IF($G$6&gt;$AB$4,0,IF($AB$5=3,0,AB99-AC99))</f>
        <v>4.8800000000000003E-2</v>
      </c>
      <c r="AF99" s="181">
        <f>IF($G$6&gt;$AB$4,0,IF($AB$5=3,0,AB99-AD99))</f>
        <v>4.8800000000000003E-2</v>
      </c>
      <c r="AG99" s="182">
        <f>Z99*AE99*AG95</f>
        <v>0</v>
      </c>
      <c r="AH99" s="182">
        <f>AA99*AF99*AG95</f>
        <v>0</v>
      </c>
      <c r="AI99" s="182">
        <f>AG99+AH99</f>
        <v>0</v>
      </c>
    </row>
    <row r="100" spans="1:35">
      <c r="A100" s="583" t="s">
        <v>173</v>
      </c>
      <c r="B100" s="165" t="s">
        <v>113</v>
      </c>
      <c r="C100" s="170"/>
      <c r="D100" s="170"/>
      <c r="E100" s="166"/>
      <c r="F100" s="166"/>
      <c r="G100" s="1806">
        <f>Kalkulation_Eigenstrom!CL63/1000</f>
        <v>0.01</v>
      </c>
      <c r="H100" s="1807"/>
      <c r="I100" s="577"/>
      <c r="J100" s="577"/>
      <c r="K100" s="1778"/>
      <c r="L100" s="1783">
        <f>$L$12</f>
        <v>1000</v>
      </c>
      <c r="M100" s="1783"/>
      <c r="N100" s="180">
        <f>$N$12</f>
        <v>0</v>
      </c>
      <c r="O100" s="190">
        <f>$O$12</f>
        <v>0</v>
      </c>
      <c r="P100" s="190">
        <f>P101*N100</f>
        <v>0</v>
      </c>
      <c r="Q100" s="214">
        <f>$Q$12</f>
        <v>4.3999999999999997E-2</v>
      </c>
      <c r="R100" s="210">
        <f>$R$12</f>
        <v>0.05</v>
      </c>
      <c r="S100" s="182">
        <f>P100*Q100*S95</f>
        <v>0</v>
      </c>
      <c r="T100" s="182">
        <f>P100*R100*T95</f>
        <v>0</v>
      </c>
      <c r="U100" s="182">
        <f>S100+T100</f>
        <v>0</v>
      </c>
      <c r="V100" s="184"/>
      <c r="W100" s="185" t="str">
        <f>M101</f>
        <v xml:space="preserve"> gesamt</v>
      </c>
      <c r="X100" s="186">
        <f>N101</f>
        <v>1</v>
      </c>
      <c r="Y100" s="195">
        <f>O101-P101</f>
        <v>0</v>
      </c>
      <c r="Z100" s="195">
        <f>SUM(Z97:Z99)</f>
        <v>0</v>
      </c>
      <c r="AA100" s="195">
        <f>SUM(AA97:AA99)</f>
        <v>0</v>
      </c>
      <c r="AB100" s="215"/>
      <c r="AC100" s="216"/>
      <c r="AD100" s="196"/>
      <c r="AE100" s="196"/>
      <c r="AF100" s="196"/>
      <c r="AG100" s="196">
        <f>SUM(AG97:AG99)</f>
        <v>0</v>
      </c>
      <c r="AH100" s="196">
        <f>SUM(AH97:AH99)</f>
        <v>0</v>
      </c>
      <c r="AI100" s="216">
        <f>SUM(AI97:AI99)</f>
        <v>0</v>
      </c>
    </row>
    <row r="101" spans="1:35">
      <c r="A101" s="583" t="s">
        <v>173</v>
      </c>
      <c r="B101" s="168" t="str">
        <f>"Strompreis im "&amp;ROUND(ZRB!G90,0)&amp;". Jahr"</f>
        <v>Strompreis im 20. Jahr</v>
      </c>
      <c r="C101" s="170"/>
      <c r="D101" s="170"/>
      <c r="E101" s="166"/>
      <c r="F101" s="166"/>
      <c r="G101" s="1769">
        <f>POWER((1+$G$100),$G$90-1)*$G$99</f>
        <v>0.25370287959314164</v>
      </c>
      <c r="H101" s="1770"/>
      <c r="I101" s="577"/>
      <c r="J101" s="577"/>
      <c r="K101" s="1778"/>
      <c r="L101" s="184"/>
      <c r="M101" s="185" t="s">
        <v>216</v>
      </c>
      <c r="N101" s="186">
        <f>SUM(N97:N100)</f>
        <v>1</v>
      </c>
      <c r="O101" s="195">
        <f>$O$13</f>
        <v>0</v>
      </c>
      <c r="P101" s="195">
        <f>O101*(1-K94)</f>
        <v>0</v>
      </c>
      <c r="Q101" s="215"/>
      <c r="R101" s="211"/>
      <c r="S101" s="196">
        <f>SUM(S97:S100)</f>
        <v>0</v>
      </c>
      <c r="T101" s="196">
        <f>SUM(T97:T100)</f>
        <v>0</v>
      </c>
      <c r="U101" s="196">
        <f>SUM(U97:U100)</f>
        <v>0</v>
      </c>
      <c r="V101" s="177"/>
      <c r="W101" s="178"/>
      <c r="X101" s="179"/>
      <c r="Y101" s="179"/>
      <c r="Z101" s="1784">
        <f>Z100+AA100</f>
        <v>0</v>
      </c>
      <c r="AA101" s="1785"/>
      <c r="AB101" s="197"/>
      <c r="AC101" s="197"/>
      <c r="AD101" s="177"/>
      <c r="AE101" s="177"/>
      <c r="AF101" s="177"/>
      <c r="AG101" s="1784">
        <f>AG100+AH100</f>
        <v>0</v>
      </c>
      <c r="AH101" s="1785"/>
      <c r="AI101" s="197"/>
    </row>
    <row r="102" spans="1:35">
      <c r="A102" s="583" t="s">
        <v>173</v>
      </c>
      <c r="B102" s="165" t="s">
        <v>244</v>
      </c>
      <c r="C102" s="166"/>
      <c r="D102" s="166"/>
      <c r="E102" s="166"/>
      <c r="F102" s="166"/>
      <c r="G102" s="1769">
        <f>(G101+G99)/2</f>
        <v>0.2318514397965708</v>
      </c>
      <c r="H102" s="1770"/>
      <c r="I102" s="577"/>
      <c r="J102" s="577"/>
      <c r="K102" s="1779"/>
      <c r="L102" s="177"/>
      <c r="M102" s="178" t="s">
        <v>206</v>
      </c>
      <c r="N102" s="590"/>
      <c r="O102" s="179">
        <f>SUM(O97:O100)</f>
        <v>0</v>
      </c>
      <c r="P102" s="179">
        <f>SUM(P97:P100)</f>
        <v>0</v>
      </c>
      <c r="Q102" s="197"/>
      <c r="R102" s="197"/>
      <c r="S102" s="1784">
        <f>S101+T101</f>
        <v>0</v>
      </c>
      <c r="T102" s="1785"/>
      <c r="U102" s="225"/>
      <c r="V102" s="591"/>
      <c r="W102" s="577"/>
      <c r="X102" s="591"/>
      <c r="Y102" s="591"/>
      <c r="Z102" s="591"/>
      <c r="AA102" s="577"/>
      <c r="AB102" s="592">
        <f>IF(O101=0,0,Z100/O101)</f>
        <v>0</v>
      </c>
      <c r="AC102" s="592">
        <f>IF(O101=0,0,AA100/O101)</f>
        <v>0</v>
      </c>
      <c r="AD102" s="591"/>
      <c r="AE102" s="577"/>
      <c r="AF102" s="591"/>
      <c r="AG102" s="577"/>
      <c r="AH102" s="577"/>
      <c r="AI102" s="591"/>
    </row>
    <row r="103" spans="1:35">
      <c r="A103" s="583" t="s">
        <v>173</v>
      </c>
      <c r="B103" s="165" t="s">
        <v>287</v>
      </c>
      <c r="C103" s="166"/>
      <c r="D103" s="166"/>
      <c r="E103" s="166"/>
      <c r="F103" s="166"/>
      <c r="G103" s="1769">
        <f>G102-G114</f>
        <v>0.2318514397965708</v>
      </c>
      <c r="H103" s="1770"/>
      <c r="I103" s="577"/>
      <c r="J103" s="577"/>
      <c r="K103" s="577"/>
      <c r="L103" s="198"/>
      <c r="M103" s="198"/>
      <c r="N103" s="199"/>
      <c r="O103" s="200"/>
      <c r="P103" s="201"/>
      <c r="Q103" s="202"/>
      <c r="R103" s="203"/>
      <c r="S103" s="204"/>
      <c r="T103" s="205"/>
      <c r="U103" s="206"/>
      <c r="V103" s="591"/>
      <c r="W103" s="577"/>
      <c r="X103" s="591"/>
      <c r="Y103" s="591"/>
      <c r="Z103" s="591"/>
      <c r="AA103" s="577"/>
      <c r="AB103" s="1775">
        <f>AB102+AC102</f>
        <v>0</v>
      </c>
      <c r="AC103" s="1776"/>
      <c r="AD103" s="593"/>
      <c r="AE103" s="577"/>
      <c r="AF103" s="591"/>
      <c r="AG103" s="577"/>
      <c r="AH103" s="577"/>
      <c r="AI103" s="577"/>
    </row>
    <row r="104" spans="1:35">
      <c r="A104" s="583" t="s">
        <v>173</v>
      </c>
      <c r="B104" s="165" t="s">
        <v>288</v>
      </c>
      <c r="C104" s="166"/>
      <c r="D104" s="166"/>
      <c r="E104" s="166"/>
      <c r="F104" s="166"/>
      <c r="G104" s="1788">
        <f>G103*G31</f>
        <v>0</v>
      </c>
      <c r="H104" s="178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82"/>
      <c r="AH104" s="582"/>
      <c r="AI104" s="577"/>
    </row>
    <row r="105" spans="1:35">
      <c r="A105" s="577"/>
      <c r="B105" s="577"/>
      <c r="C105" s="577"/>
      <c r="D105" s="577"/>
      <c r="E105" s="577"/>
      <c r="F105" s="577"/>
      <c r="G105" s="577"/>
      <c r="H105" s="577"/>
      <c r="I105" s="577"/>
      <c r="J105" s="577"/>
      <c r="K105" s="1777">
        <v>0.7</v>
      </c>
      <c r="L105" s="217" t="s">
        <v>213</v>
      </c>
      <c r="M105" s="175"/>
      <c r="N105" s="175"/>
      <c r="O105" s="187" t="s">
        <v>119</v>
      </c>
      <c r="P105" s="188" t="s">
        <v>215</v>
      </c>
      <c r="Q105" s="212" t="s">
        <v>5</v>
      </c>
      <c r="R105" s="208" t="s">
        <v>225</v>
      </c>
      <c r="S105" s="194" t="s">
        <v>123</v>
      </c>
      <c r="T105" s="194" t="s">
        <v>123</v>
      </c>
      <c r="U105" s="194" t="s">
        <v>204</v>
      </c>
      <c r="V105" s="217" t="s">
        <v>222</v>
      </c>
      <c r="W105" s="175"/>
      <c r="X105" s="175"/>
      <c r="Y105" s="188" t="s">
        <v>205</v>
      </c>
      <c r="Z105" s="188" t="s">
        <v>205</v>
      </c>
      <c r="AA105" s="188" t="s">
        <v>205</v>
      </c>
      <c r="AB105" s="212" t="s">
        <v>224</v>
      </c>
      <c r="AC105" s="193" t="s">
        <v>226</v>
      </c>
      <c r="AD105" s="193" t="s">
        <v>226</v>
      </c>
      <c r="AE105" s="193" t="s">
        <v>5</v>
      </c>
      <c r="AF105" s="193" t="s">
        <v>5</v>
      </c>
      <c r="AG105" s="224" t="s">
        <v>123</v>
      </c>
      <c r="AH105" s="224" t="s">
        <v>123</v>
      </c>
      <c r="AI105" s="194" t="s">
        <v>204</v>
      </c>
    </row>
    <row r="106" spans="1:35">
      <c r="A106" s="583"/>
      <c r="B106" s="168" t="s">
        <v>541</v>
      </c>
      <c r="C106" s="170"/>
      <c r="D106" s="170"/>
      <c r="E106" s="166"/>
      <c r="F106" s="166"/>
      <c r="G106" s="1771">
        <f>IF($F$12&gt;67,2,1)</f>
        <v>2</v>
      </c>
      <c r="H106" s="1772"/>
      <c r="I106" s="577"/>
      <c r="J106" s="577"/>
      <c r="K106" s="1778"/>
      <c r="L106" s="175"/>
      <c r="M106" s="175"/>
      <c r="N106" s="176"/>
      <c r="O106" s="187" t="s">
        <v>204</v>
      </c>
      <c r="P106" s="189" t="s">
        <v>214</v>
      </c>
      <c r="Q106" s="584" t="str">
        <f>$Q$7</f>
        <v>0-20Jahre</v>
      </c>
      <c r="R106" s="585" t="str">
        <f>$R$7</f>
        <v>21-20 Jahre</v>
      </c>
      <c r="S106" s="586">
        <f>$S$7</f>
        <v>1</v>
      </c>
      <c r="T106" s="586">
        <f>$T$7</f>
        <v>0</v>
      </c>
      <c r="U106" s="587" t="str">
        <f>$U$7</f>
        <v>0-20 Jahre</v>
      </c>
      <c r="V106" s="175"/>
      <c r="W106" s="175"/>
      <c r="X106" s="176"/>
      <c r="Y106" s="191" t="s">
        <v>204</v>
      </c>
      <c r="Z106" s="219">
        <f>$Z$7</f>
        <v>0.3</v>
      </c>
      <c r="AA106" s="220">
        <f>Z106</f>
        <v>0.3</v>
      </c>
      <c r="AB106" s="584" t="str">
        <f>"0-"&amp;G201&amp;"Jahre"</f>
        <v>0-Jahre</v>
      </c>
      <c r="AC106" s="588" t="str">
        <f>"bis "&amp;Z106*100&amp;"%"</f>
        <v>bis 30%</v>
      </c>
      <c r="AD106" s="588" t="str">
        <f>"über "&amp;AA106*100&amp;"%"</f>
        <v>über 30%</v>
      </c>
      <c r="AE106" s="588" t="str">
        <f>"bis "&amp;Z106*100&amp;"%"</f>
        <v>bis 30%</v>
      </c>
      <c r="AF106" s="588" t="str">
        <f>"über "&amp;AA106*100&amp;"%"</f>
        <v>über 30%</v>
      </c>
      <c r="AG106" s="1780">
        <f>$AG$7</f>
        <v>1</v>
      </c>
      <c r="AH106" s="1781"/>
      <c r="AI106" s="588" t="str">
        <f>$AI$7</f>
        <v>0-20 Jahre</v>
      </c>
    </row>
    <row r="107" spans="1:35">
      <c r="A107" s="583"/>
      <c r="B107" s="168" t="str">
        <f>"Anlage max. "&amp;F107&amp;" kWp (Bagatellgrenze) (ja = 1; nein = 2)"</f>
        <v>Anlage max. 30 kWp (Bagatellgrenze) (ja = 1; nein = 2)</v>
      </c>
      <c r="C107" s="170"/>
      <c r="D107" s="170"/>
      <c r="E107" s="166"/>
      <c r="F107" s="1117">
        <f>VLOOKUP($F$12,Vergütungen_Stammdaten!$B$6:$AK$188,35,FALSE)</f>
        <v>30</v>
      </c>
      <c r="G107" s="1771">
        <f>IF($F$12&gt;67,IF($G$6&gt;F107,2,1),0)</f>
        <v>1</v>
      </c>
      <c r="H107" s="1772"/>
      <c r="I107" s="577"/>
      <c r="J107" s="577"/>
      <c r="K107" s="1778"/>
      <c r="L107" s="175" t="str">
        <f>$L$8</f>
        <v>Dachanlage</v>
      </c>
      <c r="M107" s="175"/>
      <c r="N107" s="176" t="s">
        <v>104</v>
      </c>
      <c r="O107" s="187" t="s">
        <v>120</v>
      </c>
      <c r="P107" s="187" t="s">
        <v>120</v>
      </c>
      <c r="Q107" s="213" t="s">
        <v>122</v>
      </c>
      <c r="R107" s="209" t="s">
        <v>122</v>
      </c>
      <c r="S107" s="183" t="s">
        <v>124</v>
      </c>
      <c r="T107" s="183" t="s">
        <v>124</v>
      </c>
      <c r="U107" s="183" t="s">
        <v>124</v>
      </c>
      <c r="V107" s="223"/>
      <c r="W107" s="175"/>
      <c r="X107" s="176" t="str">
        <f>N107</f>
        <v>Anteile</v>
      </c>
      <c r="Y107" s="192" t="s">
        <v>120</v>
      </c>
      <c r="Z107" s="192" t="s">
        <v>120</v>
      </c>
      <c r="AA107" s="192" t="s">
        <v>120</v>
      </c>
      <c r="AB107" s="213" t="s">
        <v>122</v>
      </c>
      <c r="AC107" s="213" t="s">
        <v>122</v>
      </c>
      <c r="AD107" s="213" t="s">
        <v>122</v>
      </c>
      <c r="AE107" s="213" t="s">
        <v>122</v>
      </c>
      <c r="AF107" s="213" t="s">
        <v>122</v>
      </c>
      <c r="AG107" s="183" t="s">
        <v>124</v>
      </c>
      <c r="AH107" s="183" t="s">
        <v>124</v>
      </c>
      <c r="AI107" s="183" t="s">
        <v>124</v>
      </c>
    </row>
    <row r="108" spans="1:35">
      <c r="A108" s="583"/>
      <c r="B108" s="168" t="s">
        <v>542</v>
      </c>
      <c r="C108" s="170"/>
      <c r="D108" s="170"/>
      <c r="E108" s="598">
        <f>IF(G115=1,30%,100%)</f>
        <v>0.3</v>
      </c>
      <c r="F108" s="837">
        <f>ROUND($G$112*E108,4)</f>
        <v>0</v>
      </c>
      <c r="G108" s="1773">
        <f>IF((84+1)-$F$12&lt;0,0,(84+1)-$F$12)</f>
        <v>0</v>
      </c>
      <c r="H108" s="1774"/>
      <c r="I108" s="577"/>
      <c r="J108" s="577"/>
      <c r="K108" s="1778"/>
      <c r="L108" s="1782">
        <f>$L$9</f>
        <v>10</v>
      </c>
      <c r="M108" s="1782"/>
      <c r="N108" s="180">
        <f>$N$9</f>
        <v>1</v>
      </c>
      <c r="O108" s="190">
        <f>$O$9</f>
        <v>0</v>
      </c>
      <c r="P108" s="190">
        <f>P112*N108</f>
        <v>0</v>
      </c>
      <c r="Q108" s="214">
        <f>$Q$9</f>
        <v>6.4299999999999996E-2</v>
      </c>
      <c r="R108" s="210">
        <f>$R$9</f>
        <v>0.05</v>
      </c>
      <c r="S108" s="182">
        <f>P108*Q108*S106</f>
        <v>0</v>
      </c>
      <c r="T108" s="182">
        <f>P108*R108*T106</f>
        <v>0</v>
      </c>
      <c r="U108" s="182">
        <f>S108+T108</f>
        <v>0</v>
      </c>
      <c r="V108" s="228" t="s">
        <v>238</v>
      </c>
      <c r="W108" s="229">
        <f>L108</f>
        <v>10</v>
      </c>
      <c r="X108" s="180">
        <f>N108</f>
        <v>1</v>
      </c>
      <c r="Y108" s="190">
        <f>Y111*N108</f>
        <v>0</v>
      </c>
      <c r="Z108" s="190">
        <f>IF(O108=0,0,IF((Y108/O108)&gt;Z106,O108*Z106,Y108))</f>
        <v>0</v>
      </c>
      <c r="AA108" s="190">
        <f>IF(O108=0,0,IF((Y108/O108)&gt;Z106,Y108-(O108*Z106),0))</f>
        <v>0</v>
      </c>
      <c r="AB108" s="214">
        <f>$AB$9</f>
        <v>6.4299999999999996E-2</v>
      </c>
      <c r="AC108" s="181">
        <f>$AC$9</f>
        <v>0</v>
      </c>
      <c r="AD108" s="181">
        <f>$AD$9</f>
        <v>0</v>
      </c>
      <c r="AE108" s="181">
        <f>IF($G$6&gt;$AB$4,0,IF($AB$5=3,0,AB108-AC108))</f>
        <v>6.4299999999999996E-2</v>
      </c>
      <c r="AF108" s="181">
        <f>IF($G$6&gt;$AB$4,0,IF($AB$5=3,0,AB108-AD108))</f>
        <v>6.4299999999999996E-2</v>
      </c>
      <c r="AG108" s="182">
        <f>Z108*AE108*AG106</f>
        <v>0</v>
      </c>
      <c r="AH108" s="182">
        <f>AA108*AF108*AG106</f>
        <v>0</v>
      </c>
      <c r="AI108" s="182">
        <f>AG108+AH108</f>
        <v>0</v>
      </c>
    </row>
    <row r="109" spans="1:35">
      <c r="A109" s="583"/>
      <c r="B109" s="168" t="s">
        <v>543</v>
      </c>
      <c r="C109" s="170"/>
      <c r="D109" s="170"/>
      <c r="E109" s="598">
        <f>IF(G115=1,35%,100%)</f>
        <v>0.35</v>
      </c>
      <c r="F109" s="837">
        <f>ROUND($G$112*E109,4)</f>
        <v>0</v>
      </c>
      <c r="G109" s="1773">
        <f>IF(ZRB!$F$12&gt;96,0,IF(ZRB!$F$12&lt;85,12,(96+1)-ZRB!$F$12))</f>
        <v>0</v>
      </c>
      <c r="H109" s="1774"/>
      <c r="I109" s="577"/>
      <c r="J109" s="577"/>
      <c r="K109" s="1778"/>
      <c r="L109" s="1782">
        <f>$L$10</f>
        <v>40</v>
      </c>
      <c r="M109" s="1782"/>
      <c r="N109" s="180">
        <f>$N$10</f>
        <v>0</v>
      </c>
      <c r="O109" s="190">
        <f>$O$10</f>
        <v>0</v>
      </c>
      <c r="P109" s="190">
        <f>P112*N109</f>
        <v>0</v>
      </c>
      <c r="Q109" s="214">
        <f>$Q$10</f>
        <v>6.25E-2</v>
      </c>
      <c r="R109" s="210">
        <f>$R$10</f>
        <v>0.05</v>
      </c>
      <c r="S109" s="182">
        <f>P109*Q109*S106</f>
        <v>0</v>
      </c>
      <c r="T109" s="182">
        <f>P109*R109*T106</f>
        <v>0</v>
      </c>
      <c r="U109" s="182">
        <f>S109+T109</f>
        <v>0</v>
      </c>
      <c r="V109" s="228" t="s">
        <v>238</v>
      </c>
      <c r="W109" s="229">
        <f>L109</f>
        <v>40</v>
      </c>
      <c r="X109" s="180">
        <f>N109</f>
        <v>0</v>
      </c>
      <c r="Y109" s="190">
        <f>Y111*N109</f>
        <v>0</v>
      </c>
      <c r="Z109" s="190">
        <f>IF(O109=0,0,IF((Y109/O109)&gt;Z106,O109*Z106,Y109))</f>
        <v>0</v>
      </c>
      <c r="AA109" s="190">
        <f>IF(O109=0,0,IF((Y109/O109)&gt;Z106,Y109-(O109*Z106),0))</f>
        <v>0</v>
      </c>
      <c r="AB109" s="214">
        <f>$AB$10</f>
        <v>6.25E-2</v>
      </c>
      <c r="AC109" s="181">
        <f>$AC$10</f>
        <v>0</v>
      </c>
      <c r="AD109" s="181">
        <f>$AD$10</f>
        <v>0</v>
      </c>
      <c r="AE109" s="181">
        <f>IF($G$6&gt;$AB$4,0,IF($AB$5=3,0,AB109-AC109))</f>
        <v>6.25E-2</v>
      </c>
      <c r="AF109" s="181">
        <f>IF($G$6&gt;$AB$4,0,IF($AB$5=3,0,AB109-AD109))</f>
        <v>6.25E-2</v>
      </c>
      <c r="AG109" s="182">
        <f>Z109*AE109*AG106</f>
        <v>0</v>
      </c>
      <c r="AH109" s="182">
        <f>AA109*AF109*AG106</f>
        <v>0</v>
      </c>
      <c r="AI109" s="182">
        <f>AG109+AH109</f>
        <v>0</v>
      </c>
    </row>
    <row r="110" spans="1:35">
      <c r="A110" s="583"/>
      <c r="B110" s="168" t="s">
        <v>545</v>
      </c>
      <c r="C110" s="170"/>
      <c r="D110" s="170"/>
      <c r="E110" s="598">
        <f>IF(G115=1,40%,100%)</f>
        <v>0.4</v>
      </c>
      <c r="F110" s="837">
        <f>ROUND($G$112*E110,4)</f>
        <v>0</v>
      </c>
      <c r="G110" s="1773">
        <f>G111-(G108+G109)</f>
        <v>240</v>
      </c>
      <c r="H110" s="1774"/>
      <c r="I110" s="577"/>
      <c r="J110" s="577"/>
      <c r="K110" s="1778"/>
      <c r="L110" s="1782">
        <f>$L$11</f>
        <v>1000</v>
      </c>
      <c r="M110" s="1782"/>
      <c r="N110" s="180">
        <f>$N$11</f>
        <v>0</v>
      </c>
      <c r="O110" s="190">
        <f>$O$11</f>
        <v>0</v>
      </c>
      <c r="P110" s="190">
        <f>P112*N110</f>
        <v>0</v>
      </c>
      <c r="Q110" s="214">
        <f>$Q$11</f>
        <v>4.8800000000000003E-2</v>
      </c>
      <c r="R110" s="210">
        <f>$R$11</f>
        <v>0.05</v>
      </c>
      <c r="S110" s="182">
        <f>P110*Q110*S106</f>
        <v>0</v>
      </c>
      <c r="T110" s="182">
        <f>P110*R110*T106</f>
        <v>0</v>
      </c>
      <c r="U110" s="182">
        <f>S110+T110</f>
        <v>0</v>
      </c>
      <c r="V110" s="228" t="s">
        <v>238</v>
      </c>
      <c r="W110" s="230">
        <v>500</v>
      </c>
      <c r="X110" s="180">
        <f>N110</f>
        <v>0</v>
      </c>
      <c r="Y110" s="190">
        <f>Y111*N110</f>
        <v>0</v>
      </c>
      <c r="Z110" s="190">
        <f>IF(O110=0,0,IF((Y110/O110)&gt;Z106,O110*Z106,Y110))</f>
        <v>0</v>
      </c>
      <c r="AA110" s="190">
        <f>IF(O110=0,0,IF((Y110/O110)&gt;Z106,Y110-(O110*Z106),0))</f>
        <v>0</v>
      </c>
      <c r="AB110" s="214">
        <f>$AB$11</f>
        <v>4.8800000000000003E-2</v>
      </c>
      <c r="AC110" s="181">
        <f>$AC$11</f>
        <v>0</v>
      </c>
      <c r="AD110" s="181">
        <f>$AD$11</f>
        <v>0</v>
      </c>
      <c r="AE110" s="181">
        <f>IF($G$6&gt;$AB$4,0,IF($AB$5=3,0,AB110-AC110))</f>
        <v>4.8800000000000003E-2</v>
      </c>
      <c r="AF110" s="181">
        <f>IF($G$6&gt;$AB$4,0,IF($AB$5=3,0,AB110-AD110))</f>
        <v>4.8800000000000003E-2</v>
      </c>
      <c r="AG110" s="182">
        <f>Z110*AE110*AG106</f>
        <v>0</v>
      </c>
      <c r="AH110" s="182">
        <f>AA110*AF110*AG106</f>
        <v>0</v>
      </c>
      <c r="AI110" s="182">
        <f>AG110+AH110</f>
        <v>0</v>
      </c>
    </row>
    <row r="111" spans="1:35">
      <c r="A111" s="583"/>
      <c r="B111" s="168" t="s">
        <v>544</v>
      </c>
      <c r="C111" s="170"/>
      <c r="D111" s="170"/>
      <c r="E111" s="166"/>
      <c r="F111" s="166"/>
      <c r="G111" s="1773">
        <f>G90*12</f>
        <v>240</v>
      </c>
      <c r="H111" s="1774"/>
      <c r="I111" s="577"/>
      <c r="J111" s="577"/>
      <c r="K111" s="1778"/>
      <c r="L111" s="1783">
        <f>$L$12</f>
        <v>1000</v>
      </c>
      <c r="M111" s="1783"/>
      <c r="N111" s="180">
        <f>$N$12</f>
        <v>0</v>
      </c>
      <c r="O111" s="190">
        <f>$O$12</f>
        <v>0</v>
      </c>
      <c r="P111" s="190">
        <f>P112*N111</f>
        <v>0</v>
      </c>
      <c r="Q111" s="214">
        <f>$Q$12</f>
        <v>4.3999999999999997E-2</v>
      </c>
      <c r="R111" s="210">
        <f>$R$12</f>
        <v>0.05</v>
      </c>
      <c r="S111" s="182">
        <f>P111*Q111*S106</f>
        <v>0</v>
      </c>
      <c r="T111" s="182">
        <f>P111*R111*T106</f>
        <v>0</v>
      </c>
      <c r="U111" s="182">
        <f>S111+T111</f>
        <v>0</v>
      </c>
      <c r="V111" s="184"/>
      <c r="W111" s="185" t="str">
        <f>M112</f>
        <v xml:space="preserve"> gesamt</v>
      </c>
      <c r="X111" s="186">
        <f>N112</f>
        <v>1</v>
      </c>
      <c r="Y111" s="195">
        <f>O112-P112</f>
        <v>0</v>
      </c>
      <c r="Z111" s="195">
        <f>SUM(Z108:Z110)</f>
        <v>0</v>
      </c>
      <c r="AA111" s="195">
        <f>SUM(AA108:AA110)</f>
        <v>0</v>
      </c>
      <c r="AB111" s="215"/>
      <c r="AC111" s="216"/>
      <c r="AD111" s="196"/>
      <c r="AE111" s="196"/>
      <c r="AF111" s="196"/>
      <c r="AG111" s="196">
        <f>SUM(AG108:AG110)</f>
        <v>0</v>
      </c>
      <c r="AH111" s="196">
        <f>SUM(AH108:AH110)</f>
        <v>0</v>
      </c>
      <c r="AI111" s="216">
        <f>SUM(AI108:AI110)</f>
        <v>0</v>
      </c>
    </row>
    <row r="112" spans="1:35">
      <c r="A112" s="583"/>
      <c r="B112" s="168" t="s">
        <v>547</v>
      </c>
      <c r="C112" s="170"/>
      <c r="D112" s="170"/>
      <c r="E112" s="166"/>
      <c r="F112" s="166"/>
      <c r="G112" s="1767">
        <f>Kalkulation_Eigenstrom!CE69/100</f>
        <v>0</v>
      </c>
      <c r="H112" s="1768"/>
      <c r="I112" s="577"/>
      <c r="J112" s="577"/>
      <c r="K112" s="1778"/>
      <c r="L112" s="184"/>
      <c r="M112" s="185" t="s">
        <v>216</v>
      </c>
      <c r="N112" s="186">
        <f>SUM(N108:N111)</f>
        <v>1</v>
      </c>
      <c r="O112" s="195">
        <f>$O$13</f>
        <v>0</v>
      </c>
      <c r="P112" s="195">
        <f>O112*(1-K105)</f>
        <v>0</v>
      </c>
      <c r="Q112" s="215"/>
      <c r="R112" s="211"/>
      <c r="S112" s="196">
        <f>SUM(S108:S111)</f>
        <v>0</v>
      </c>
      <c r="T112" s="196">
        <f>SUM(T108:T111)</f>
        <v>0</v>
      </c>
      <c r="U112" s="196">
        <f>SUM(U108:U111)</f>
        <v>0</v>
      </c>
      <c r="V112" s="177"/>
      <c r="W112" s="178"/>
      <c r="X112" s="179"/>
      <c r="Y112" s="179"/>
      <c r="Z112" s="1784">
        <f>Z111+AA111</f>
        <v>0</v>
      </c>
      <c r="AA112" s="1785"/>
      <c r="AB112" s="197"/>
      <c r="AC112" s="197"/>
      <c r="AD112" s="177"/>
      <c r="AE112" s="177"/>
      <c r="AF112" s="177"/>
      <c r="AG112" s="1784">
        <f>AG111+AH111</f>
        <v>0</v>
      </c>
      <c r="AH112" s="1785"/>
      <c r="AI112" s="197"/>
    </row>
    <row r="113" spans="1:35">
      <c r="A113" s="583"/>
      <c r="B113" s="168" t="s">
        <v>548</v>
      </c>
      <c r="C113" s="170"/>
      <c r="D113" s="170"/>
      <c r="E113" s="166"/>
      <c r="F113" s="166"/>
      <c r="G113" s="1767">
        <f>(G108*F108+G109*F109+G110*F110)/G111</f>
        <v>0</v>
      </c>
      <c r="H113" s="1768"/>
      <c r="I113" s="577"/>
      <c r="J113" s="577"/>
      <c r="K113" s="1779"/>
      <c r="L113" s="177"/>
      <c r="M113" s="178" t="s">
        <v>206</v>
      </c>
      <c r="N113" s="590"/>
      <c r="O113" s="179">
        <f>SUM(O108:O111)</f>
        <v>0</v>
      </c>
      <c r="P113" s="179">
        <f>SUM(P108:P111)</f>
        <v>0</v>
      </c>
      <c r="Q113" s="197"/>
      <c r="R113" s="197"/>
      <c r="S113" s="1784">
        <f>S112+T112</f>
        <v>0</v>
      </c>
      <c r="T113" s="1785"/>
      <c r="U113" s="225"/>
      <c r="V113" s="591"/>
      <c r="W113" s="577"/>
      <c r="X113" s="591"/>
      <c r="Y113" s="591"/>
      <c r="Z113" s="591"/>
      <c r="AA113" s="577"/>
      <c r="AB113" s="592">
        <f>IF(O112=0,0,Z111/O112)</f>
        <v>0</v>
      </c>
      <c r="AC113" s="592">
        <f>IF(O112=0,0,AA111/O112)</f>
        <v>0</v>
      </c>
      <c r="AD113" s="591"/>
      <c r="AE113" s="577"/>
      <c r="AF113" s="591"/>
      <c r="AG113" s="577"/>
      <c r="AH113" s="577"/>
      <c r="AI113" s="591"/>
    </row>
    <row r="114" spans="1:35">
      <c r="A114" s="583"/>
      <c r="B114" s="168" t="s">
        <v>549</v>
      </c>
      <c r="C114" s="170"/>
      <c r="D114" s="170"/>
      <c r="E114" s="166"/>
      <c r="F114" s="166"/>
      <c r="G114" s="1769">
        <f>G88+G113</f>
        <v>0</v>
      </c>
      <c r="H114" s="1770"/>
      <c r="I114" s="577"/>
      <c r="J114" s="577"/>
      <c r="K114" s="577"/>
      <c r="L114" s="198"/>
      <c r="M114" s="198"/>
      <c r="N114" s="199"/>
      <c r="O114" s="200"/>
      <c r="P114" s="201"/>
      <c r="Q114" s="202"/>
      <c r="R114" s="203"/>
      <c r="S114" s="204"/>
      <c r="T114" s="205"/>
      <c r="U114" s="206"/>
      <c r="V114" s="591"/>
      <c r="W114" s="577"/>
      <c r="X114" s="591"/>
      <c r="Y114" s="591"/>
      <c r="Z114" s="591"/>
      <c r="AA114" s="577"/>
      <c r="AB114" s="1775">
        <f>AB113+AC113</f>
        <v>0</v>
      </c>
      <c r="AC114" s="1776"/>
      <c r="AD114" s="593"/>
      <c r="AE114" s="577"/>
      <c r="AF114" s="591"/>
      <c r="AG114" s="577"/>
      <c r="AH114" s="577"/>
      <c r="AI114" s="577"/>
    </row>
    <row r="115" spans="1:35">
      <c r="A115" s="583"/>
      <c r="B115" s="168" t="s">
        <v>897</v>
      </c>
      <c r="C115" s="170"/>
      <c r="D115" s="170"/>
      <c r="E115" s="166"/>
      <c r="F115" s="166"/>
      <c r="G115" s="1771">
        <f>Kalkulation_Eigenstrom!E65</f>
        <v>1</v>
      </c>
      <c r="H115" s="1772"/>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82"/>
      <c r="AH115" s="582"/>
      <c r="AI115" s="577"/>
    </row>
    <row r="116" spans="1:35">
      <c r="A116" s="583"/>
      <c r="B116" s="168"/>
      <c r="C116" s="170"/>
      <c r="D116" s="170"/>
      <c r="E116" s="166"/>
      <c r="F116" s="166"/>
      <c r="G116" s="1769"/>
      <c r="H116" s="1770"/>
      <c r="I116" s="577"/>
      <c r="J116" s="577"/>
      <c r="K116" s="1777">
        <v>0.8</v>
      </c>
      <c r="L116" s="217" t="s">
        <v>213</v>
      </c>
      <c r="M116" s="175"/>
      <c r="N116" s="175"/>
      <c r="O116" s="187" t="s">
        <v>119</v>
      </c>
      <c r="P116" s="188" t="s">
        <v>215</v>
      </c>
      <c r="Q116" s="212" t="s">
        <v>5</v>
      </c>
      <c r="R116" s="208" t="s">
        <v>225</v>
      </c>
      <c r="S116" s="194" t="s">
        <v>123</v>
      </c>
      <c r="T116" s="194" t="s">
        <v>123</v>
      </c>
      <c r="U116" s="194" t="s">
        <v>204</v>
      </c>
      <c r="V116" s="217" t="s">
        <v>222</v>
      </c>
      <c r="W116" s="175"/>
      <c r="X116" s="175"/>
      <c r="Y116" s="188" t="s">
        <v>205</v>
      </c>
      <c r="Z116" s="188" t="s">
        <v>205</v>
      </c>
      <c r="AA116" s="188" t="s">
        <v>205</v>
      </c>
      <c r="AB116" s="212" t="s">
        <v>224</v>
      </c>
      <c r="AC116" s="193" t="s">
        <v>226</v>
      </c>
      <c r="AD116" s="193" t="s">
        <v>226</v>
      </c>
      <c r="AE116" s="193" t="s">
        <v>5</v>
      </c>
      <c r="AF116" s="193" t="s">
        <v>5</v>
      </c>
      <c r="AG116" s="224" t="s">
        <v>123</v>
      </c>
      <c r="AH116" s="224" t="s">
        <v>123</v>
      </c>
      <c r="AI116" s="194" t="s">
        <v>204</v>
      </c>
    </row>
    <row r="117" spans="1:35">
      <c r="A117" s="583"/>
      <c r="B117" s="168" t="s">
        <v>1145</v>
      </c>
      <c r="C117" s="170"/>
      <c r="D117" s="170"/>
      <c r="E117" s="166"/>
      <c r="F117" s="166"/>
      <c r="G117" s="1769" t="e">
        <f>(((ZRB!G80)/(ZRB!G23)*100)+(ZRB!G113*100))/100</f>
        <v>#DIV/0!</v>
      </c>
      <c r="H117" s="1770"/>
      <c r="I117" s="577"/>
      <c r="J117" s="577"/>
      <c r="K117" s="1778"/>
      <c r="L117" s="175"/>
      <c r="M117" s="175"/>
      <c r="N117" s="176"/>
      <c r="O117" s="187" t="s">
        <v>204</v>
      </c>
      <c r="P117" s="189" t="s">
        <v>214</v>
      </c>
      <c r="Q117" s="584" t="str">
        <f>$Q$7</f>
        <v>0-20Jahre</v>
      </c>
      <c r="R117" s="585" t="str">
        <f>$R$7</f>
        <v>21-20 Jahre</v>
      </c>
      <c r="S117" s="586">
        <f>$S$7</f>
        <v>1</v>
      </c>
      <c r="T117" s="586">
        <f>$T$7</f>
        <v>0</v>
      </c>
      <c r="U117" s="587" t="str">
        <f>$U$7</f>
        <v>0-20 Jahre</v>
      </c>
      <c r="V117" s="175"/>
      <c r="W117" s="175"/>
      <c r="X117" s="176"/>
      <c r="Y117" s="191" t="s">
        <v>204</v>
      </c>
      <c r="Z117" s="219">
        <f>$Z$7</f>
        <v>0.3</v>
      </c>
      <c r="AA117" s="220">
        <f>Z117</f>
        <v>0.3</v>
      </c>
      <c r="AB117" s="584" t="str">
        <f>"0-"&amp;G212&amp;"Jahre"</f>
        <v>0-Jahre</v>
      </c>
      <c r="AC117" s="588" t="str">
        <f>"bis "&amp;Z117*100&amp;"%"</f>
        <v>bis 30%</v>
      </c>
      <c r="AD117" s="588" t="str">
        <f>"über "&amp;AA117*100&amp;"%"</f>
        <v>über 30%</v>
      </c>
      <c r="AE117" s="588" t="str">
        <f>"bis "&amp;Z117*100&amp;"%"</f>
        <v>bis 30%</v>
      </c>
      <c r="AF117" s="588" t="str">
        <f>"über "&amp;AA117*100&amp;"%"</f>
        <v>über 30%</v>
      </c>
      <c r="AG117" s="1780">
        <f>$AG$7</f>
        <v>1</v>
      </c>
      <c r="AH117" s="1781"/>
      <c r="AI117" s="588" t="str">
        <f>$AI$7</f>
        <v>0-20 Jahre</v>
      </c>
    </row>
    <row r="118" spans="1:35">
      <c r="A118" s="583"/>
      <c r="B118" s="168"/>
      <c r="C118" s="170"/>
      <c r="D118" s="170"/>
      <c r="E118" s="166"/>
      <c r="F118" s="166"/>
      <c r="G118" s="1769"/>
      <c r="H118" s="1770"/>
      <c r="I118" s="577"/>
      <c r="J118" s="577"/>
      <c r="K118" s="1778"/>
      <c r="L118" s="175" t="str">
        <f>$L$8</f>
        <v>Dachanlage</v>
      </c>
      <c r="M118" s="175"/>
      <c r="N118" s="176" t="s">
        <v>104</v>
      </c>
      <c r="O118" s="187" t="s">
        <v>120</v>
      </c>
      <c r="P118" s="187" t="s">
        <v>120</v>
      </c>
      <c r="Q118" s="213" t="s">
        <v>122</v>
      </c>
      <c r="R118" s="209" t="s">
        <v>122</v>
      </c>
      <c r="S118" s="183" t="s">
        <v>124</v>
      </c>
      <c r="T118" s="183" t="s">
        <v>124</v>
      </c>
      <c r="U118" s="183" t="s">
        <v>124</v>
      </c>
      <c r="V118" s="223"/>
      <c r="W118" s="175"/>
      <c r="X118" s="176" t="str">
        <f>N118</f>
        <v>Anteile</v>
      </c>
      <c r="Y118" s="192" t="s">
        <v>120</v>
      </c>
      <c r="Z118" s="192" t="s">
        <v>120</v>
      </c>
      <c r="AA118" s="192" t="s">
        <v>120</v>
      </c>
      <c r="AB118" s="213" t="s">
        <v>122</v>
      </c>
      <c r="AC118" s="213" t="s">
        <v>122</v>
      </c>
      <c r="AD118" s="213" t="s">
        <v>122</v>
      </c>
      <c r="AE118" s="213" t="s">
        <v>122</v>
      </c>
      <c r="AF118" s="213" t="s">
        <v>122</v>
      </c>
      <c r="AG118" s="183" t="s">
        <v>124</v>
      </c>
      <c r="AH118" s="183" t="s">
        <v>124</v>
      </c>
      <c r="AI118" s="183" t="s">
        <v>124</v>
      </c>
    </row>
    <row r="119" spans="1:35">
      <c r="A119" s="577"/>
      <c r="B119" s="577"/>
      <c r="C119" s="577"/>
      <c r="D119" s="577"/>
      <c r="E119" s="577"/>
      <c r="F119" s="577"/>
      <c r="G119" s="577"/>
      <c r="H119" s="577"/>
      <c r="I119" s="577"/>
      <c r="J119" s="577"/>
      <c r="K119" s="1778"/>
      <c r="L119" s="1782">
        <f>$L$9</f>
        <v>10</v>
      </c>
      <c r="M119" s="1782"/>
      <c r="N119" s="180">
        <f>$N$9</f>
        <v>1</v>
      </c>
      <c r="O119" s="190">
        <f>$O$9</f>
        <v>0</v>
      </c>
      <c r="P119" s="190">
        <f>P123*N119</f>
        <v>0</v>
      </c>
      <c r="Q119" s="214">
        <f>$Q$9</f>
        <v>6.4299999999999996E-2</v>
      </c>
      <c r="R119" s="210">
        <f>$R$9</f>
        <v>0.05</v>
      </c>
      <c r="S119" s="182">
        <f>P119*Q119*S117</f>
        <v>0</v>
      </c>
      <c r="T119" s="182">
        <f>P119*R119*T117</f>
        <v>0</v>
      </c>
      <c r="U119" s="182">
        <f>S119+T119</f>
        <v>0</v>
      </c>
      <c r="V119" s="228" t="s">
        <v>238</v>
      </c>
      <c r="W119" s="229">
        <f>L119</f>
        <v>10</v>
      </c>
      <c r="X119" s="180">
        <f>N119</f>
        <v>1</v>
      </c>
      <c r="Y119" s="190">
        <f>Y122*N119</f>
        <v>0</v>
      </c>
      <c r="Z119" s="190">
        <f>IF(O119=0,0,IF((Y119/O119)&gt;Z117,O119*Z117,Y119))</f>
        <v>0</v>
      </c>
      <c r="AA119" s="190">
        <f>IF(O119=0,0,IF((Y119/O119)&gt;Z117,Y119-(O119*Z117),0))</f>
        <v>0</v>
      </c>
      <c r="AB119" s="214">
        <f>$AB$9</f>
        <v>6.4299999999999996E-2</v>
      </c>
      <c r="AC119" s="181">
        <f>$AC$9</f>
        <v>0</v>
      </c>
      <c r="AD119" s="181">
        <f>$AD$9</f>
        <v>0</v>
      </c>
      <c r="AE119" s="181">
        <f>IF($G$6&gt;$AB$4,0,IF($AB$5=3,0,AB119-AC119))</f>
        <v>6.4299999999999996E-2</v>
      </c>
      <c r="AF119" s="181">
        <f>IF($G$6&gt;$AB$4,0,IF($AB$5=3,0,AB119-AD119))</f>
        <v>6.4299999999999996E-2</v>
      </c>
      <c r="AG119" s="182">
        <f>Z119*AE119*AG117</f>
        <v>0</v>
      </c>
      <c r="AH119" s="182">
        <f>AA119*AF119*AG117</f>
        <v>0</v>
      </c>
      <c r="AI119" s="182">
        <f>AG119+AH119</f>
        <v>0</v>
      </c>
    </row>
    <row r="120" spans="1:35">
      <c r="A120" s="577"/>
      <c r="B120" s="577"/>
      <c r="C120" s="577"/>
      <c r="D120" s="577"/>
      <c r="E120" s="577"/>
      <c r="F120" s="577"/>
      <c r="G120" s="577"/>
      <c r="H120" s="577"/>
      <c r="I120" s="577"/>
      <c r="J120" s="577"/>
      <c r="K120" s="1778"/>
      <c r="L120" s="1782">
        <f>$L$10</f>
        <v>40</v>
      </c>
      <c r="M120" s="1782"/>
      <c r="N120" s="180">
        <f>$N$10</f>
        <v>0</v>
      </c>
      <c r="O120" s="190">
        <f>$O$10</f>
        <v>0</v>
      </c>
      <c r="P120" s="190">
        <f>P123*N120</f>
        <v>0</v>
      </c>
      <c r="Q120" s="214">
        <f>$Q$10</f>
        <v>6.25E-2</v>
      </c>
      <c r="R120" s="210">
        <f>$R$10</f>
        <v>0.05</v>
      </c>
      <c r="S120" s="182">
        <f>P120*Q120*S117</f>
        <v>0</v>
      </c>
      <c r="T120" s="182">
        <f>P120*R120*T117</f>
        <v>0</v>
      </c>
      <c r="U120" s="182">
        <f>S120+T120</f>
        <v>0</v>
      </c>
      <c r="V120" s="228" t="s">
        <v>238</v>
      </c>
      <c r="W120" s="229">
        <f>L120</f>
        <v>40</v>
      </c>
      <c r="X120" s="180">
        <f>N120</f>
        <v>0</v>
      </c>
      <c r="Y120" s="190">
        <f>Y122*N120</f>
        <v>0</v>
      </c>
      <c r="Z120" s="190">
        <f>IF(O120=0,0,IF((Y120/O120)&gt;Z117,O120*Z117,Y120))</f>
        <v>0</v>
      </c>
      <c r="AA120" s="190">
        <f>IF(O120=0,0,IF((Y120/O120)&gt;Z117,Y120-(O120*Z117),0))</f>
        <v>0</v>
      </c>
      <c r="AB120" s="214">
        <f>$AB$10</f>
        <v>6.25E-2</v>
      </c>
      <c r="AC120" s="181">
        <f>$AC$10</f>
        <v>0</v>
      </c>
      <c r="AD120" s="181">
        <f>$AD$10</f>
        <v>0</v>
      </c>
      <c r="AE120" s="181">
        <f>IF($G$6&gt;$AB$4,0,IF($AB$5=3,0,AB120-AC120))</f>
        <v>6.25E-2</v>
      </c>
      <c r="AF120" s="181">
        <f>IF($G$6&gt;$AB$4,0,IF($AB$5=3,0,AB120-AD120))</f>
        <v>6.25E-2</v>
      </c>
      <c r="AG120" s="182">
        <f>Z120*AE120*AG117</f>
        <v>0</v>
      </c>
      <c r="AH120" s="182">
        <f>AA120*AF120*AG117</f>
        <v>0</v>
      </c>
      <c r="AI120" s="182">
        <f>AG120+AH120</f>
        <v>0</v>
      </c>
    </row>
    <row r="121" spans="1:35">
      <c r="A121" s="577"/>
      <c r="B121" s="577"/>
      <c r="C121" s="577"/>
      <c r="D121" s="577"/>
      <c r="E121" s="577"/>
      <c r="F121" s="577"/>
      <c r="G121" s="577"/>
      <c r="H121" s="577"/>
      <c r="I121" s="577"/>
      <c r="J121" s="577"/>
      <c r="K121" s="1778"/>
      <c r="L121" s="1782">
        <f>$L$11</f>
        <v>1000</v>
      </c>
      <c r="M121" s="1782"/>
      <c r="N121" s="180">
        <f>$N$11</f>
        <v>0</v>
      </c>
      <c r="O121" s="190">
        <f>$O$11</f>
        <v>0</v>
      </c>
      <c r="P121" s="190">
        <f>P123*N121</f>
        <v>0</v>
      </c>
      <c r="Q121" s="214">
        <f>$Q$11</f>
        <v>4.8800000000000003E-2</v>
      </c>
      <c r="R121" s="210">
        <f>$R$11</f>
        <v>0.05</v>
      </c>
      <c r="S121" s="182">
        <f>P121*Q121*S117</f>
        <v>0</v>
      </c>
      <c r="T121" s="182">
        <f>P121*R121*T117</f>
        <v>0</v>
      </c>
      <c r="U121" s="182">
        <f>S121+T121</f>
        <v>0</v>
      </c>
      <c r="V121" s="228" t="s">
        <v>238</v>
      </c>
      <c r="W121" s="230">
        <v>500</v>
      </c>
      <c r="X121" s="180">
        <f>N121</f>
        <v>0</v>
      </c>
      <c r="Y121" s="190">
        <f>Y122*N121</f>
        <v>0</v>
      </c>
      <c r="Z121" s="190">
        <f>IF(O121=0,0,IF((Y121/O121)&gt;Z117,O121*Z117,Y121))</f>
        <v>0</v>
      </c>
      <c r="AA121" s="190">
        <f>IF(O121=0,0,IF((Y121/O121)&gt;Z117,Y121-(O121*Z117),0))</f>
        <v>0</v>
      </c>
      <c r="AB121" s="214">
        <f>$AB$11</f>
        <v>4.8800000000000003E-2</v>
      </c>
      <c r="AC121" s="181">
        <f>$AC$11</f>
        <v>0</v>
      </c>
      <c r="AD121" s="181">
        <f>$AD$11</f>
        <v>0</v>
      </c>
      <c r="AE121" s="181">
        <f>IF($G$6&gt;$AB$4,0,IF($AB$5=3,0,AB121-AC121))</f>
        <v>4.8800000000000003E-2</v>
      </c>
      <c r="AF121" s="181">
        <f>IF($G$6&gt;$AB$4,0,IF($AB$5=3,0,AB121-AD121))</f>
        <v>4.8800000000000003E-2</v>
      </c>
      <c r="AG121" s="182">
        <f>Z121*AE121*AG117</f>
        <v>0</v>
      </c>
      <c r="AH121" s="182">
        <f>AA121*AF121*AG117</f>
        <v>0</v>
      </c>
      <c r="AI121" s="182">
        <f>AG121+AH121</f>
        <v>0</v>
      </c>
    </row>
    <row r="122" spans="1:35">
      <c r="A122" s="577"/>
      <c r="B122" s="577"/>
      <c r="C122" s="577"/>
      <c r="D122" s="577"/>
      <c r="E122" s="577"/>
      <c r="F122" s="577"/>
      <c r="G122" s="577"/>
      <c r="H122" s="577"/>
      <c r="I122" s="577"/>
      <c r="J122" s="577"/>
      <c r="K122" s="1778"/>
      <c r="L122" s="1783">
        <f>$L$12</f>
        <v>1000</v>
      </c>
      <c r="M122" s="1783"/>
      <c r="N122" s="180">
        <f>$N$12</f>
        <v>0</v>
      </c>
      <c r="O122" s="190">
        <f>$O$12</f>
        <v>0</v>
      </c>
      <c r="P122" s="190">
        <f>P123*N122</f>
        <v>0</v>
      </c>
      <c r="Q122" s="214">
        <f>$Q$12</f>
        <v>4.3999999999999997E-2</v>
      </c>
      <c r="R122" s="210">
        <f>$R$12</f>
        <v>0.05</v>
      </c>
      <c r="S122" s="182">
        <f>P122*Q122*S117</f>
        <v>0</v>
      </c>
      <c r="T122" s="182">
        <f>P122*R122*T117</f>
        <v>0</v>
      </c>
      <c r="U122" s="182">
        <f>S122+T122</f>
        <v>0</v>
      </c>
      <c r="V122" s="184"/>
      <c r="W122" s="185" t="str">
        <f>M123</f>
        <v xml:space="preserve"> gesamt</v>
      </c>
      <c r="X122" s="186">
        <f>N123</f>
        <v>1</v>
      </c>
      <c r="Y122" s="195">
        <f>O123-P123</f>
        <v>0</v>
      </c>
      <c r="Z122" s="195">
        <f>SUM(Z119:Z121)</f>
        <v>0</v>
      </c>
      <c r="AA122" s="195">
        <f>SUM(AA119:AA121)</f>
        <v>0</v>
      </c>
      <c r="AB122" s="215"/>
      <c r="AC122" s="216"/>
      <c r="AD122" s="196"/>
      <c r="AE122" s="196"/>
      <c r="AF122" s="196"/>
      <c r="AG122" s="196">
        <f>SUM(AG119:AG121)</f>
        <v>0</v>
      </c>
      <c r="AH122" s="196">
        <f>SUM(AH119:AH121)</f>
        <v>0</v>
      </c>
      <c r="AI122" s="216">
        <f>SUM(AI119:AI121)</f>
        <v>0</v>
      </c>
    </row>
    <row r="123" spans="1:35">
      <c r="A123" s="577"/>
      <c r="B123" s="577"/>
      <c r="C123" s="577"/>
      <c r="D123" s="577"/>
      <c r="E123" s="577"/>
      <c r="F123" s="577"/>
      <c r="G123" s="577"/>
      <c r="H123" s="577"/>
      <c r="I123" s="577"/>
      <c r="J123" s="577"/>
      <c r="K123" s="1778"/>
      <c r="L123" s="184"/>
      <c r="M123" s="185" t="s">
        <v>216</v>
      </c>
      <c r="N123" s="186">
        <f>SUM(N119:N122)</f>
        <v>1</v>
      </c>
      <c r="O123" s="195">
        <f>$O$13</f>
        <v>0</v>
      </c>
      <c r="P123" s="195">
        <f>O123*(1-K116)</f>
        <v>0</v>
      </c>
      <c r="Q123" s="215"/>
      <c r="R123" s="211"/>
      <c r="S123" s="196">
        <f>SUM(S119:S122)</f>
        <v>0</v>
      </c>
      <c r="T123" s="196">
        <f>SUM(T119:T122)</f>
        <v>0</v>
      </c>
      <c r="U123" s="196">
        <f>SUM(U119:U122)</f>
        <v>0</v>
      </c>
      <c r="V123" s="177"/>
      <c r="W123" s="178"/>
      <c r="X123" s="179"/>
      <c r="Y123" s="179"/>
      <c r="Z123" s="1784">
        <f>Z122+AA122</f>
        <v>0</v>
      </c>
      <c r="AA123" s="1785"/>
      <c r="AB123" s="197"/>
      <c r="AC123" s="197"/>
      <c r="AD123" s="177"/>
      <c r="AE123" s="177"/>
      <c r="AF123" s="177"/>
      <c r="AG123" s="1784">
        <f>AG122+AH122</f>
        <v>0</v>
      </c>
      <c r="AH123" s="1785"/>
      <c r="AI123" s="197"/>
    </row>
    <row r="124" spans="1:35">
      <c r="A124" s="577"/>
      <c r="B124" s="577"/>
      <c r="C124" s="577"/>
      <c r="D124" s="577"/>
      <c r="E124" s="577"/>
      <c r="F124" s="577"/>
      <c r="G124" s="577"/>
      <c r="H124" s="577"/>
      <c r="I124" s="577"/>
      <c r="J124" s="577"/>
      <c r="K124" s="1779"/>
      <c r="L124" s="177"/>
      <c r="M124" s="178" t="s">
        <v>206</v>
      </c>
      <c r="N124" s="590"/>
      <c r="O124" s="179">
        <f>SUM(O119:O122)</f>
        <v>0</v>
      </c>
      <c r="P124" s="179">
        <f>SUM(P119:P122)</f>
        <v>0</v>
      </c>
      <c r="Q124" s="197"/>
      <c r="R124" s="197"/>
      <c r="S124" s="1784">
        <f>S123+T123</f>
        <v>0</v>
      </c>
      <c r="T124" s="1785"/>
      <c r="U124" s="225"/>
      <c r="V124" s="591"/>
      <c r="W124" s="577"/>
      <c r="X124" s="591"/>
      <c r="Y124" s="591"/>
      <c r="Z124" s="591"/>
      <c r="AA124" s="577"/>
      <c r="AB124" s="592">
        <f>IF(O123=0,0,Z122/O123)</f>
        <v>0</v>
      </c>
      <c r="AC124" s="592">
        <f>IF(O123=0,0,AA122/O123)</f>
        <v>0</v>
      </c>
      <c r="AD124" s="591"/>
      <c r="AE124" s="577"/>
      <c r="AF124" s="591"/>
      <c r="AG124" s="577"/>
      <c r="AH124" s="577"/>
      <c r="AI124" s="591"/>
    </row>
    <row r="125" spans="1:35">
      <c r="A125" s="577"/>
      <c r="B125" s="577"/>
      <c r="C125" s="577"/>
      <c r="D125" s="577"/>
      <c r="E125" s="577"/>
      <c r="F125" s="577"/>
      <c r="G125" s="577"/>
      <c r="H125" s="577"/>
      <c r="I125" s="577"/>
      <c r="J125" s="577"/>
      <c r="K125" s="604"/>
      <c r="L125" s="18"/>
      <c r="M125" s="332"/>
      <c r="N125" s="111"/>
      <c r="O125" s="333"/>
      <c r="P125" s="333"/>
      <c r="Q125" s="18"/>
      <c r="R125" s="18"/>
      <c r="S125" s="334"/>
      <c r="T125" s="334"/>
      <c r="U125" s="18"/>
      <c r="V125" s="591"/>
      <c r="W125" s="577"/>
      <c r="X125" s="591"/>
      <c r="Y125" s="591"/>
      <c r="Z125" s="591"/>
      <c r="AA125" s="577"/>
      <c r="AB125" s="1775">
        <f>AB124+AC124</f>
        <v>0</v>
      </c>
      <c r="AC125" s="1776"/>
      <c r="AD125" s="591"/>
      <c r="AE125" s="577"/>
      <c r="AF125" s="591"/>
      <c r="AG125" s="577"/>
      <c r="AH125" s="577"/>
      <c r="AI125" s="591"/>
    </row>
    <row r="126" spans="1:35">
      <c r="A126" s="577"/>
      <c r="B126" s="577"/>
      <c r="C126" s="577"/>
      <c r="D126" s="577"/>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82"/>
      <c r="AH126" s="582"/>
      <c r="AI126" s="577"/>
    </row>
    <row r="127" spans="1:35">
      <c r="A127" s="577"/>
      <c r="B127" s="577"/>
      <c r="C127" s="577"/>
      <c r="D127" s="577"/>
      <c r="E127" s="577"/>
      <c r="F127" s="577"/>
      <c r="G127" s="577"/>
      <c r="H127" s="577"/>
      <c r="I127" s="577"/>
      <c r="J127" s="577"/>
      <c r="K127" s="1777">
        <v>0.9</v>
      </c>
      <c r="L127" s="217" t="s">
        <v>213</v>
      </c>
      <c r="M127" s="175"/>
      <c r="N127" s="175"/>
      <c r="O127" s="187" t="s">
        <v>119</v>
      </c>
      <c r="P127" s="188" t="s">
        <v>215</v>
      </c>
      <c r="Q127" s="212" t="s">
        <v>5</v>
      </c>
      <c r="R127" s="208" t="s">
        <v>225</v>
      </c>
      <c r="S127" s="194" t="s">
        <v>123</v>
      </c>
      <c r="T127" s="194" t="s">
        <v>123</v>
      </c>
      <c r="U127" s="194" t="s">
        <v>204</v>
      </c>
      <c r="V127" s="217" t="s">
        <v>222</v>
      </c>
      <c r="W127" s="175"/>
      <c r="X127" s="175"/>
      <c r="Y127" s="188" t="s">
        <v>205</v>
      </c>
      <c r="Z127" s="188" t="s">
        <v>205</v>
      </c>
      <c r="AA127" s="188" t="s">
        <v>205</v>
      </c>
      <c r="AB127" s="212" t="s">
        <v>224</v>
      </c>
      <c r="AC127" s="193" t="s">
        <v>226</v>
      </c>
      <c r="AD127" s="193" t="s">
        <v>226</v>
      </c>
      <c r="AE127" s="193" t="s">
        <v>5</v>
      </c>
      <c r="AF127" s="193" t="s">
        <v>5</v>
      </c>
      <c r="AG127" s="224" t="s">
        <v>123</v>
      </c>
      <c r="AH127" s="224" t="s">
        <v>123</v>
      </c>
      <c r="AI127" s="194" t="s">
        <v>204</v>
      </c>
    </row>
    <row r="128" spans="1:35">
      <c r="A128" s="577"/>
      <c r="B128" s="577"/>
      <c r="C128" s="577"/>
      <c r="D128" s="577"/>
      <c r="E128" s="577"/>
      <c r="F128" s="577"/>
      <c r="G128" s="577"/>
      <c r="H128" s="577"/>
      <c r="I128" s="577"/>
      <c r="J128" s="577"/>
      <c r="K128" s="1778"/>
      <c r="L128" s="175"/>
      <c r="M128" s="175"/>
      <c r="N128" s="176"/>
      <c r="O128" s="187" t="s">
        <v>204</v>
      </c>
      <c r="P128" s="189" t="s">
        <v>214</v>
      </c>
      <c r="Q128" s="584" t="str">
        <f>$Q$7</f>
        <v>0-20Jahre</v>
      </c>
      <c r="R128" s="585" t="str">
        <f>$R$7</f>
        <v>21-20 Jahre</v>
      </c>
      <c r="S128" s="586">
        <f>$S$7</f>
        <v>1</v>
      </c>
      <c r="T128" s="586">
        <f>$T$7</f>
        <v>0</v>
      </c>
      <c r="U128" s="587" t="str">
        <f>$U$7</f>
        <v>0-20 Jahre</v>
      </c>
      <c r="V128" s="175"/>
      <c r="W128" s="175"/>
      <c r="X128" s="176"/>
      <c r="Y128" s="191" t="s">
        <v>204</v>
      </c>
      <c r="Z128" s="219">
        <f>$Z$7</f>
        <v>0.3</v>
      </c>
      <c r="AA128" s="220">
        <f>Z128</f>
        <v>0.3</v>
      </c>
      <c r="AB128" s="584" t="str">
        <f>"0-"&amp;G223&amp;"Jahre"</f>
        <v>0-Jahre</v>
      </c>
      <c r="AC128" s="588" t="str">
        <f>"bis "&amp;Z128*100&amp;"%"</f>
        <v>bis 30%</v>
      </c>
      <c r="AD128" s="588" t="str">
        <f>"über "&amp;AA128*100&amp;"%"</f>
        <v>über 30%</v>
      </c>
      <c r="AE128" s="588" t="str">
        <f>"bis "&amp;Z128*100&amp;"%"</f>
        <v>bis 30%</v>
      </c>
      <c r="AF128" s="588" t="str">
        <f>"über "&amp;AA128*100&amp;"%"</f>
        <v>über 30%</v>
      </c>
      <c r="AG128" s="1780">
        <f>$AG$7</f>
        <v>1</v>
      </c>
      <c r="AH128" s="1781"/>
      <c r="AI128" s="588" t="str">
        <f>$AI$7</f>
        <v>0-20 Jahre</v>
      </c>
    </row>
    <row r="129" spans="1:35">
      <c r="A129" s="577"/>
      <c r="B129" s="577"/>
      <c r="C129" s="577"/>
      <c r="D129" s="577"/>
      <c r="E129" s="577"/>
      <c r="F129" s="577"/>
      <c r="G129" s="577"/>
      <c r="H129" s="577"/>
      <c r="I129" s="577"/>
      <c r="J129" s="577"/>
      <c r="K129" s="1778"/>
      <c r="L129" s="175" t="str">
        <f>$L$8</f>
        <v>Dachanlage</v>
      </c>
      <c r="M129" s="175"/>
      <c r="N129" s="176" t="s">
        <v>104</v>
      </c>
      <c r="O129" s="187" t="s">
        <v>120</v>
      </c>
      <c r="P129" s="187" t="s">
        <v>120</v>
      </c>
      <c r="Q129" s="213" t="s">
        <v>122</v>
      </c>
      <c r="R129" s="209" t="s">
        <v>122</v>
      </c>
      <c r="S129" s="183" t="s">
        <v>124</v>
      </c>
      <c r="T129" s="183" t="s">
        <v>124</v>
      </c>
      <c r="U129" s="183" t="s">
        <v>124</v>
      </c>
      <c r="V129" s="223"/>
      <c r="W129" s="175"/>
      <c r="X129" s="176" t="str">
        <f>N129</f>
        <v>Anteile</v>
      </c>
      <c r="Y129" s="192" t="s">
        <v>120</v>
      </c>
      <c r="Z129" s="192" t="s">
        <v>120</v>
      </c>
      <c r="AA129" s="192" t="s">
        <v>120</v>
      </c>
      <c r="AB129" s="213" t="s">
        <v>122</v>
      </c>
      <c r="AC129" s="213" t="s">
        <v>122</v>
      </c>
      <c r="AD129" s="213" t="s">
        <v>122</v>
      </c>
      <c r="AE129" s="213" t="s">
        <v>122</v>
      </c>
      <c r="AF129" s="213" t="s">
        <v>122</v>
      </c>
      <c r="AG129" s="183" t="s">
        <v>124</v>
      </c>
      <c r="AH129" s="183" t="s">
        <v>124</v>
      </c>
      <c r="AI129" s="183" t="s">
        <v>124</v>
      </c>
    </row>
    <row r="130" spans="1:35">
      <c r="A130" s="577"/>
      <c r="B130" s="577"/>
      <c r="C130" s="577"/>
      <c r="D130" s="577"/>
      <c r="E130" s="577"/>
      <c r="F130" s="577"/>
      <c r="G130" s="577"/>
      <c r="H130" s="577"/>
      <c r="I130" s="577"/>
      <c r="J130" s="577"/>
      <c r="K130" s="1778"/>
      <c r="L130" s="1782">
        <f>$L$9</f>
        <v>10</v>
      </c>
      <c r="M130" s="1782"/>
      <c r="N130" s="180">
        <f>$N$9</f>
        <v>1</v>
      </c>
      <c r="O130" s="190">
        <f>$O$9</f>
        <v>0</v>
      </c>
      <c r="P130" s="190">
        <f>P134*N130</f>
        <v>0</v>
      </c>
      <c r="Q130" s="214">
        <f>$Q$9</f>
        <v>6.4299999999999996E-2</v>
      </c>
      <c r="R130" s="210">
        <f>$R$9</f>
        <v>0.05</v>
      </c>
      <c r="S130" s="182">
        <f>P130*Q130*S128</f>
        <v>0</v>
      </c>
      <c r="T130" s="182">
        <f>P130*R130*T128</f>
        <v>0</v>
      </c>
      <c r="U130" s="182">
        <f>S130+T130</f>
        <v>0</v>
      </c>
      <c r="V130" s="228" t="s">
        <v>238</v>
      </c>
      <c r="W130" s="229">
        <f>L130</f>
        <v>10</v>
      </c>
      <c r="X130" s="180">
        <f>N130</f>
        <v>1</v>
      </c>
      <c r="Y130" s="190">
        <f>Y133*N130</f>
        <v>0</v>
      </c>
      <c r="Z130" s="190">
        <f>IF(O130=0,0,IF((Y130/O130)&gt;Z128,O130*Z128,Y130))</f>
        <v>0</v>
      </c>
      <c r="AA130" s="190">
        <f>IF(O130=0,0,IF((Y130/O130)&gt;Z128,Y130-(O130*Z128),0))</f>
        <v>0</v>
      </c>
      <c r="AB130" s="214">
        <f>$AB$9</f>
        <v>6.4299999999999996E-2</v>
      </c>
      <c r="AC130" s="181">
        <f>$AC$9</f>
        <v>0</v>
      </c>
      <c r="AD130" s="181">
        <f>$AD$9</f>
        <v>0</v>
      </c>
      <c r="AE130" s="181">
        <f>IF($G$6&gt;$AB$4,0,IF($AB$5=3,0,AB130-AC130))</f>
        <v>6.4299999999999996E-2</v>
      </c>
      <c r="AF130" s="181">
        <f>IF($G$6&gt;$AB$4,0,IF($AB$5=3,0,AB130-AD130))</f>
        <v>6.4299999999999996E-2</v>
      </c>
      <c r="AG130" s="182">
        <f>Z130*AE130*AG128</f>
        <v>0</v>
      </c>
      <c r="AH130" s="182">
        <f>AA130*AF130*AG128</f>
        <v>0</v>
      </c>
      <c r="AI130" s="182">
        <f>AG130+AH130</f>
        <v>0</v>
      </c>
    </row>
    <row r="131" spans="1:35">
      <c r="A131" s="577"/>
      <c r="B131" s="577"/>
      <c r="C131" s="577"/>
      <c r="D131" s="577"/>
      <c r="E131" s="577"/>
      <c r="F131" s="577"/>
      <c r="G131" s="577"/>
      <c r="H131" s="577"/>
      <c r="I131" s="577"/>
      <c r="J131" s="577"/>
      <c r="K131" s="1778"/>
      <c r="L131" s="1782">
        <f>$L$10</f>
        <v>40</v>
      </c>
      <c r="M131" s="1782"/>
      <c r="N131" s="180">
        <f>$N$10</f>
        <v>0</v>
      </c>
      <c r="O131" s="190">
        <f>$O$10</f>
        <v>0</v>
      </c>
      <c r="P131" s="190">
        <f>P134*N131</f>
        <v>0</v>
      </c>
      <c r="Q131" s="214">
        <f>$Q$10</f>
        <v>6.25E-2</v>
      </c>
      <c r="R131" s="210">
        <f>$R$10</f>
        <v>0.05</v>
      </c>
      <c r="S131" s="182">
        <f>P131*Q131*S128</f>
        <v>0</v>
      </c>
      <c r="T131" s="182">
        <f>P131*R131*T128</f>
        <v>0</v>
      </c>
      <c r="U131" s="182">
        <f>S131+T131</f>
        <v>0</v>
      </c>
      <c r="V131" s="228" t="s">
        <v>238</v>
      </c>
      <c r="W131" s="229">
        <f>L131</f>
        <v>40</v>
      </c>
      <c r="X131" s="180">
        <f>N131</f>
        <v>0</v>
      </c>
      <c r="Y131" s="190">
        <f>Y133*N131</f>
        <v>0</v>
      </c>
      <c r="Z131" s="190">
        <f>IF(O131=0,0,IF((Y131/O131)&gt;Z128,O131*Z128,Y131))</f>
        <v>0</v>
      </c>
      <c r="AA131" s="190">
        <f>IF(O131=0,0,IF((Y131/O131)&gt;Z128,Y131-(O131*Z128),0))</f>
        <v>0</v>
      </c>
      <c r="AB131" s="214">
        <f>$AB$10</f>
        <v>6.25E-2</v>
      </c>
      <c r="AC131" s="181">
        <f>$AC$10</f>
        <v>0</v>
      </c>
      <c r="AD131" s="181">
        <f>$AD$10</f>
        <v>0</v>
      </c>
      <c r="AE131" s="181">
        <f>IF($G$6&gt;$AB$4,0,IF($AB$5=3,0,AB131-AC131))</f>
        <v>6.25E-2</v>
      </c>
      <c r="AF131" s="181">
        <f>IF($G$6&gt;$AB$4,0,IF($AB$5=3,0,AB131-AD131))</f>
        <v>6.25E-2</v>
      </c>
      <c r="AG131" s="182">
        <f>Z131*AE131*AG128</f>
        <v>0</v>
      </c>
      <c r="AH131" s="182">
        <f>AA131*AF131*AG128</f>
        <v>0</v>
      </c>
      <c r="AI131" s="182">
        <f>AG131+AH131</f>
        <v>0</v>
      </c>
    </row>
    <row r="132" spans="1:35">
      <c r="A132" s="577"/>
      <c r="B132" s="577"/>
      <c r="C132" s="577"/>
      <c r="D132" s="577"/>
      <c r="E132" s="577"/>
      <c r="F132" s="577"/>
      <c r="G132" s="577"/>
      <c r="H132" s="577"/>
      <c r="I132" s="577"/>
      <c r="J132" s="577"/>
      <c r="K132" s="1778"/>
      <c r="L132" s="1782">
        <f>$L$11</f>
        <v>1000</v>
      </c>
      <c r="M132" s="1782"/>
      <c r="N132" s="180">
        <f>$N$11</f>
        <v>0</v>
      </c>
      <c r="O132" s="190">
        <f>$O$11</f>
        <v>0</v>
      </c>
      <c r="P132" s="190">
        <f>P134*N132</f>
        <v>0</v>
      </c>
      <c r="Q132" s="214">
        <f>$Q$11</f>
        <v>4.8800000000000003E-2</v>
      </c>
      <c r="R132" s="210">
        <f>$R$11</f>
        <v>0.05</v>
      </c>
      <c r="S132" s="182">
        <f>P132*Q132*S128</f>
        <v>0</v>
      </c>
      <c r="T132" s="182">
        <f>P132*R132*T128</f>
        <v>0</v>
      </c>
      <c r="U132" s="182">
        <f>S132+T132</f>
        <v>0</v>
      </c>
      <c r="V132" s="228" t="s">
        <v>238</v>
      </c>
      <c r="W132" s="230">
        <v>500</v>
      </c>
      <c r="X132" s="180">
        <f>N132</f>
        <v>0</v>
      </c>
      <c r="Y132" s="190">
        <f>Y133*N132</f>
        <v>0</v>
      </c>
      <c r="Z132" s="190">
        <f>IF(O132=0,0,IF((Y132/O132)&gt;Z128,O132*Z128,Y132))</f>
        <v>0</v>
      </c>
      <c r="AA132" s="190">
        <f>IF(O132=0,0,IF((Y132/O132)&gt;Z128,Y132-(O132*Z128),0))</f>
        <v>0</v>
      </c>
      <c r="AB132" s="214">
        <f>$AB$11</f>
        <v>4.8800000000000003E-2</v>
      </c>
      <c r="AC132" s="181">
        <f>$AC$11</f>
        <v>0</v>
      </c>
      <c r="AD132" s="181">
        <f>$AD$11</f>
        <v>0</v>
      </c>
      <c r="AE132" s="181">
        <f>IF($G$6&gt;$AB$4,0,IF($AB$5=3,0,AB132-AC132))</f>
        <v>4.8800000000000003E-2</v>
      </c>
      <c r="AF132" s="181">
        <f>IF($G$6&gt;$AB$4,0,IF($AB$5=3,0,AB132-AD132))</f>
        <v>4.8800000000000003E-2</v>
      </c>
      <c r="AG132" s="182">
        <f>Z132*AE132*AG128</f>
        <v>0</v>
      </c>
      <c r="AH132" s="182">
        <f>AA132*AF132*AG128</f>
        <v>0</v>
      </c>
      <c r="AI132" s="182">
        <f>AG132+AH132</f>
        <v>0</v>
      </c>
    </row>
    <row r="133" spans="1:35">
      <c r="A133" s="577"/>
      <c r="B133" s="577"/>
      <c r="C133" s="577"/>
      <c r="D133" s="577"/>
      <c r="E133" s="577"/>
      <c r="F133" s="577"/>
      <c r="G133" s="577"/>
      <c r="H133" s="577"/>
      <c r="I133" s="577"/>
      <c r="J133" s="577"/>
      <c r="K133" s="1778"/>
      <c r="L133" s="1783">
        <f>$L$12</f>
        <v>1000</v>
      </c>
      <c r="M133" s="1783"/>
      <c r="N133" s="180">
        <f>$N$12</f>
        <v>0</v>
      </c>
      <c r="O133" s="190">
        <f>$O$12</f>
        <v>0</v>
      </c>
      <c r="P133" s="190">
        <f>P134*N133</f>
        <v>0</v>
      </c>
      <c r="Q133" s="214">
        <f>$Q$12</f>
        <v>4.3999999999999997E-2</v>
      </c>
      <c r="R133" s="210">
        <f>$R$12</f>
        <v>0.05</v>
      </c>
      <c r="S133" s="182">
        <f>P133*Q133*S128</f>
        <v>0</v>
      </c>
      <c r="T133" s="182">
        <f>P133*R133*T128</f>
        <v>0</v>
      </c>
      <c r="U133" s="182">
        <f>S133+T133</f>
        <v>0</v>
      </c>
      <c r="V133" s="184"/>
      <c r="W133" s="185" t="str">
        <f>M134</f>
        <v xml:space="preserve"> gesamt</v>
      </c>
      <c r="X133" s="186">
        <f>N134</f>
        <v>1</v>
      </c>
      <c r="Y133" s="195">
        <f>O134-P134</f>
        <v>0</v>
      </c>
      <c r="Z133" s="195">
        <f>SUM(Z130:Z132)</f>
        <v>0</v>
      </c>
      <c r="AA133" s="195">
        <f>SUM(AA130:AA132)</f>
        <v>0</v>
      </c>
      <c r="AB133" s="215"/>
      <c r="AC133" s="216"/>
      <c r="AD133" s="196"/>
      <c r="AE133" s="196"/>
      <c r="AF133" s="196"/>
      <c r="AG133" s="196">
        <f>SUM(AG130:AG132)</f>
        <v>0</v>
      </c>
      <c r="AH133" s="196">
        <f>SUM(AH130:AH132)</f>
        <v>0</v>
      </c>
      <c r="AI133" s="216">
        <f>SUM(AI130:AI132)</f>
        <v>0</v>
      </c>
    </row>
    <row r="134" spans="1:35">
      <c r="A134" s="577"/>
      <c r="B134" s="577"/>
      <c r="C134" s="577"/>
      <c r="D134" s="577"/>
      <c r="E134" s="577"/>
      <c r="F134" s="577"/>
      <c r="G134" s="577"/>
      <c r="H134" s="577"/>
      <c r="I134" s="577"/>
      <c r="J134" s="577"/>
      <c r="K134" s="1778"/>
      <c r="L134" s="184"/>
      <c r="M134" s="185" t="s">
        <v>216</v>
      </c>
      <c r="N134" s="186">
        <f>SUM(N130:N133)</f>
        <v>1</v>
      </c>
      <c r="O134" s="195">
        <f>$O$13</f>
        <v>0</v>
      </c>
      <c r="P134" s="195">
        <f>O134*(1-K127)</f>
        <v>0</v>
      </c>
      <c r="Q134" s="215"/>
      <c r="R134" s="211"/>
      <c r="S134" s="196">
        <f>SUM(S130:S133)</f>
        <v>0</v>
      </c>
      <c r="T134" s="196">
        <f>SUM(T130:T133)</f>
        <v>0</v>
      </c>
      <c r="U134" s="196">
        <f>SUM(U130:U133)</f>
        <v>0</v>
      </c>
      <c r="V134" s="177"/>
      <c r="W134" s="178"/>
      <c r="X134" s="179"/>
      <c r="Y134" s="179"/>
      <c r="Z134" s="1784">
        <f>Z133+AA133</f>
        <v>0</v>
      </c>
      <c r="AA134" s="1785"/>
      <c r="AB134" s="197"/>
      <c r="AC134" s="197"/>
      <c r="AD134" s="177"/>
      <c r="AE134" s="177"/>
      <c r="AF134" s="177"/>
      <c r="AG134" s="1784">
        <f>AG133+AH133</f>
        <v>0</v>
      </c>
      <c r="AH134" s="1785"/>
      <c r="AI134" s="197"/>
    </row>
    <row r="135" spans="1:35">
      <c r="A135" s="577"/>
      <c r="B135" s="577"/>
      <c r="C135" s="577"/>
      <c r="D135" s="577"/>
      <c r="E135" s="577"/>
      <c r="F135" s="577"/>
      <c r="G135" s="577"/>
      <c r="H135" s="577"/>
      <c r="I135" s="577"/>
      <c r="J135" s="577"/>
      <c r="K135" s="1779"/>
      <c r="L135" s="177"/>
      <c r="M135" s="178" t="s">
        <v>206</v>
      </c>
      <c r="N135" s="590"/>
      <c r="O135" s="179">
        <f>SUM(O130:O133)</f>
        <v>0</v>
      </c>
      <c r="P135" s="179">
        <f>SUM(P130:P133)</f>
        <v>0</v>
      </c>
      <c r="Q135" s="197"/>
      <c r="R135" s="197"/>
      <c r="S135" s="1784">
        <f>S134+T134</f>
        <v>0</v>
      </c>
      <c r="T135" s="1785"/>
      <c r="U135" s="225"/>
      <c r="V135" s="591"/>
      <c r="W135" s="577"/>
      <c r="X135" s="591"/>
      <c r="Y135" s="591"/>
      <c r="Z135" s="591"/>
      <c r="AA135" s="577"/>
      <c r="AB135" s="592">
        <f>IF(O134=0,0,Z133/O134)</f>
        <v>0</v>
      </c>
      <c r="AC135" s="592">
        <f>IF(O134=0,0,AA133/O134)</f>
        <v>0</v>
      </c>
      <c r="AD135" s="591"/>
      <c r="AE135" s="577"/>
      <c r="AF135" s="591"/>
      <c r="AG135" s="577"/>
      <c r="AH135" s="577"/>
      <c r="AI135" s="591"/>
    </row>
    <row r="136" spans="1:35">
      <c r="A136" s="577"/>
      <c r="B136" s="577"/>
      <c r="C136" s="577"/>
      <c r="D136" s="577"/>
      <c r="E136" s="577"/>
      <c r="F136" s="577"/>
      <c r="G136" s="577"/>
      <c r="H136" s="577"/>
      <c r="I136" s="577"/>
      <c r="J136" s="577"/>
      <c r="K136" s="604"/>
      <c r="L136" s="18"/>
      <c r="M136" s="332"/>
      <c r="N136" s="111"/>
      <c r="O136" s="333"/>
      <c r="P136" s="333"/>
      <c r="Q136" s="18"/>
      <c r="R136" s="18"/>
      <c r="S136" s="334"/>
      <c r="T136" s="334"/>
      <c r="U136" s="18"/>
      <c r="V136" s="591"/>
      <c r="W136" s="577"/>
      <c r="X136" s="591"/>
      <c r="Y136" s="591"/>
      <c r="Z136" s="591"/>
      <c r="AA136" s="577"/>
      <c r="AB136" s="1775">
        <f>AB135+AC135</f>
        <v>0</v>
      </c>
      <c r="AC136" s="1776"/>
      <c r="AD136" s="591"/>
      <c r="AE136" s="577"/>
      <c r="AF136" s="591"/>
      <c r="AG136" s="577"/>
      <c r="AH136" s="577"/>
      <c r="AI136" s="591"/>
    </row>
    <row r="137" spans="1:35">
      <c r="A137" s="577"/>
      <c r="B137" s="577"/>
      <c r="C137" s="577"/>
      <c r="D137" s="57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82"/>
      <c r="AH137" s="582"/>
      <c r="AI137" s="577"/>
    </row>
    <row r="138" spans="1:35">
      <c r="A138" s="577"/>
      <c r="B138" s="577"/>
      <c r="C138" s="577"/>
      <c r="D138" s="577"/>
      <c r="E138" s="577"/>
      <c r="F138" s="577"/>
      <c r="G138" s="577"/>
      <c r="H138" s="577"/>
      <c r="I138" s="577"/>
      <c r="J138" s="577"/>
      <c r="K138" s="1777">
        <v>1</v>
      </c>
      <c r="L138" s="217" t="s">
        <v>213</v>
      </c>
      <c r="M138" s="175"/>
      <c r="N138" s="175"/>
      <c r="O138" s="187" t="s">
        <v>119</v>
      </c>
      <c r="P138" s="188" t="s">
        <v>215</v>
      </c>
      <c r="Q138" s="212" t="s">
        <v>5</v>
      </c>
      <c r="R138" s="208" t="s">
        <v>225</v>
      </c>
      <c r="S138" s="194" t="s">
        <v>123</v>
      </c>
      <c r="T138" s="194" t="s">
        <v>123</v>
      </c>
      <c r="U138" s="194" t="s">
        <v>204</v>
      </c>
      <c r="V138" s="217" t="s">
        <v>222</v>
      </c>
      <c r="W138" s="175"/>
      <c r="X138" s="175"/>
      <c r="Y138" s="188" t="s">
        <v>205</v>
      </c>
      <c r="Z138" s="188" t="s">
        <v>205</v>
      </c>
      <c r="AA138" s="188" t="s">
        <v>205</v>
      </c>
      <c r="AB138" s="212" t="s">
        <v>224</v>
      </c>
      <c r="AC138" s="193" t="s">
        <v>226</v>
      </c>
      <c r="AD138" s="193" t="s">
        <v>226</v>
      </c>
      <c r="AE138" s="193" t="s">
        <v>5</v>
      </c>
      <c r="AF138" s="193" t="s">
        <v>5</v>
      </c>
      <c r="AG138" s="224" t="s">
        <v>123</v>
      </c>
      <c r="AH138" s="224" t="s">
        <v>123</v>
      </c>
      <c r="AI138" s="194" t="s">
        <v>204</v>
      </c>
    </row>
    <row r="139" spans="1:35">
      <c r="A139" s="577"/>
      <c r="B139" s="577"/>
      <c r="C139" s="577"/>
      <c r="D139" s="577"/>
      <c r="E139" s="577"/>
      <c r="F139" s="577"/>
      <c r="G139" s="577"/>
      <c r="H139" s="577"/>
      <c r="I139" s="577"/>
      <c r="J139" s="577"/>
      <c r="K139" s="1778"/>
      <c r="L139" s="175"/>
      <c r="M139" s="175"/>
      <c r="N139" s="176"/>
      <c r="O139" s="187" t="s">
        <v>204</v>
      </c>
      <c r="P139" s="189" t="s">
        <v>214</v>
      </c>
      <c r="Q139" s="584" t="str">
        <f>$Q$7</f>
        <v>0-20Jahre</v>
      </c>
      <c r="R139" s="585" t="str">
        <f>$R$7</f>
        <v>21-20 Jahre</v>
      </c>
      <c r="S139" s="586">
        <f>$S$7</f>
        <v>1</v>
      </c>
      <c r="T139" s="586">
        <f>$T$7</f>
        <v>0</v>
      </c>
      <c r="U139" s="587" t="str">
        <f>$U$7</f>
        <v>0-20 Jahre</v>
      </c>
      <c r="V139" s="175"/>
      <c r="W139" s="175"/>
      <c r="X139" s="176"/>
      <c r="Y139" s="191" t="s">
        <v>204</v>
      </c>
      <c r="Z139" s="219">
        <f>$Z$7</f>
        <v>0.3</v>
      </c>
      <c r="AA139" s="220">
        <f>Z139</f>
        <v>0.3</v>
      </c>
      <c r="AB139" s="584" t="str">
        <f>"0-"&amp;G234&amp;"Jahre"</f>
        <v>0-Jahre</v>
      </c>
      <c r="AC139" s="588" t="str">
        <f>"bis "&amp;Z139*100&amp;"%"</f>
        <v>bis 30%</v>
      </c>
      <c r="AD139" s="588" t="str">
        <f>"über "&amp;AA139*100&amp;"%"</f>
        <v>über 30%</v>
      </c>
      <c r="AE139" s="588" t="str">
        <f>"bis "&amp;Z139*100&amp;"%"</f>
        <v>bis 30%</v>
      </c>
      <c r="AF139" s="588" t="str">
        <f>"über "&amp;AA139*100&amp;"%"</f>
        <v>über 30%</v>
      </c>
      <c r="AG139" s="1780">
        <f>$AG$7</f>
        <v>1</v>
      </c>
      <c r="AH139" s="1781"/>
      <c r="AI139" s="588" t="str">
        <f>$AI$7</f>
        <v>0-20 Jahre</v>
      </c>
    </row>
    <row r="140" spans="1:35">
      <c r="A140" s="577"/>
      <c r="B140" s="577"/>
      <c r="C140" s="577"/>
      <c r="D140" s="577"/>
      <c r="E140" s="577"/>
      <c r="F140" s="577"/>
      <c r="G140" s="577"/>
      <c r="H140" s="577"/>
      <c r="I140" s="577"/>
      <c r="J140" s="577"/>
      <c r="K140" s="1778"/>
      <c r="L140" s="175" t="str">
        <f>$L$8</f>
        <v>Dachanlage</v>
      </c>
      <c r="M140" s="175"/>
      <c r="N140" s="176" t="s">
        <v>104</v>
      </c>
      <c r="O140" s="187" t="s">
        <v>120</v>
      </c>
      <c r="P140" s="187" t="s">
        <v>120</v>
      </c>
      <c r="Q140" s="213" t="s">
        <v>122</v>
      </c>
      <c r="R140" s="209" t="s">
        <v>122</v>
      </c>
      <c r="S140" s="183" t="s">
        <v>124</v>
      </c>
      <c r="T140" s="183" t="s">
        <v>124</v>
      </c>
      <c r="U140" s="183" t="s">
        <v>124</v>
      </c>
      <c r="V140" s="223"/>
      <c r="W140" s="175"/>
      <c r="X140" s="176" t="str">
        <f>N140</f>
        <v>Anteile</v>
      </c>
      <c r="Y140" s="192" t="s">
        <v>120</v>
      </c>
      <c r="Z140" s="192" t="s">
        <v>120</v>
      </c>
      <c r="AA140" s="192" t="s">
        <v>120</v>
      </c>
      <c r="AB140" s="213" t="s">
        <v>122</v>
      </c>
      <c r="AC140" s="213" t="s">
        <v>122</v>
      </c>
      <c r="AD140" s="213" t="s">
        <v>122</v>
      </c>
      <c r="AE140" s="213" t="s">
        <v>122</v>
      </c>
      <c r="AF140" s="213" t="s">
        <v>122</v>
      </c>
      <c r="AG140" s="183" t="s">
        <v>124</v>
      </c>
      <c r="AH140" s="183" t="s">
        <v>124</v>
      </c>
      <c r="AI140" s="183" t="s">
        <v>124</v>
      </c>
    </row>
    <row r="141" spans="1:35">
      <c r="A141" s="577"/>
      <c r="B141" s="577"/>
      <c r="C141" s="577"/>
      <c r="D141" s="577"/>
      <c r="E141" s="577"/>
      <c r="F141" s="577"/>
      <c r="G141" s="577"/>
      <c r="H141" s="577"/>
      <c r="I141" s="577"/>
      <c r="J141" s="577"/>
      <c r="K141" s="1778"/>
      <c r="L141" s="1782">
        <f>$L$9</f>
        <v>10</v>
      </c>
      <c r="M141" s="1782"/>
      <c r="N141" s="180">
        <f>$N$9</f>
        <v>1</v>
      </c>
      <c r="O141" s="190">
        <f>$O$9</f>
        <v>0</v>
      </c>
      <c r="P141" s="190">
        <f>P145*N141</f>
        <v>0</v>
      </c>
      <c r="Q141" s="214">
        <f>$Q$9</f>
        <v>6.4299999999999996E-2</v>
      </c>
      <c r="R141" s="210">
        <f>$R$9</f>
        <v>0.05</v>
      </c>
      <c r="S141" s="182">
        <f>P141*Q141*S139</f>
        <v>0</v>
      </c>
      <c r="T141" s="182">
        <f>P141*R141*T139</f>
        <v>0</v>
      </c>
      <c r="U141" s="182">
        <f>S141+T141</f>
        <v>0</v>
      </c>
      <c r="V141" s="228" t="s">
        <v>238</v>
      </c>
      <c r="W141" s="229">
        <f>L141</f>
        <v>10</v>
      </c>
      <c r="X141" s="180">
        <f>N141</f>
        <v>1</v>
      </c>
      <c r="Y141" s="190">
        <f>Y144*N141</f>
        <v>0</v>
      </c>
      <c r="Z141" s="190">
        <f>IF(O141=0,0,IF((Y141/O141)&gt;Z139,O141*Z139,Y141))</f>
        <v>0</v>
      </c>
      <c r="AA141" s="190">
        <f>IF(O141=0,0,IF((Y141/O141)&gt;Z139,Y141-(O141*Z139),0))</f>
        <v>0</v>
      </c>
      <c r="AB141" s="214">
        <f>$AB$9</f>
        <v>6.4299999999999996E-2</v>
      </c>
      <c r="AC141" s="181">
        <f>$AC$9</f>
        <v>0</v>
      </c>
      <c r="AD141" s="181">
        <f>$AD$9</f>
        <v>0</v>
      </c>
      <c r="AE141" s="181">
        <f>IF($G$6&gt;$AB$4,0,IF($AB$5=3,0,AB141-AC141))</f>
        <v>6.4299999999999996E-2</v>
      </c>
      <c r="AF141" s="181">
        <f>IF($G$6&gt;$AB$4,0,IF($AB$5=3,0,AB141-AD141))</f>
        <v>6.4299999999999996E-2</v>
      </c>
      <c r="AG141" s="182">
        <f>Z141*AE141*AG139</f>
        <v>0</v>
      </c>
      <c r="AH141" s="182">
        <f>AA141*AF141*AG139</f>
        <v>0</v>
      </c>
      <c r="AI141" s="182">
        <f>AG141+AH141</f>
        <v>0</v>
      </c>
    </row>
    <row r="142" spans="1:35">
      <c r="A142" s="577"/>
      <c r="B142" s="577"/>
      <c r="C142" s="577"/>
      <c r="D142" s="577"/>
      <c r="E142" s="577"/>
      <c r="F142" s="577"/>
      <c r="G142" s="577"/>
      <c r="H142" s="577"/>
      <c r="I142" s="577"/>
      <c r="J142" s="577"/>
      <c r="K142" s="1778"/>
      <c r="L142" s="1782">
        <f>$L$10</f>
        <v>40</v>
      </c>
      <c r="M142" s="1782"/>
      <c r="N142" s="180">
        <f>$N$10</f>
        <v>0</v>
      </c>
      <c r="O142" s="190">
        <f>$O$10</f>
        <v>0</v>
      </c>
      <c r="P142" s="190">
        <f>P145*N142</f>
        <v>0</v>
      </c>
      <c r="Q142" s="214">
        <f>$Q$10</f>
        <v>6.25E-2</v>
      </c>
      <c r="R142" s="210">
        <f>$R$10</f>
        <v>0.05</v>
      </c>
      <c r="S142" s="182">
        <f>P142*Q142*S139</f>
        <v>0</v>
      </c>
      <c r="T142" s="182">
        <f>P142*R142*T139</f>
        <v>0</v>
      </c>
      <c r="U142" s="182">
        <f>S142+T142</f>
        <v>0</v>
      </c>
      <c r="V142" s="228" t="s">
        <v>238</v>
      </c>
      <c r="W142" s="229">
        <f>L142</f>
        <v>40</v>
      </c>
      <c r="X142" s="180">
        <f>N142</f>
        <v>0</v>
      </c>
      <c r="Y142" s="190">
        <f>Y144*N142</f>
        <v>0</v>
      </c>
      <c r="Z142" s="190">
        <f>IF(O142=0,0,IF((Y142/O142)&gt;Z139,O142*Z139,Y142))</f>
        <v>0</v>
      </c>
      <c r="AA142" s="190">
        <f>IF(O142=0,0,IF((Y142/O142)&gt;Z139,Y142-(O142*Z139),0))</f>
        <v>0</v>
      </c>
      <c r="AB142" s="214">
        <f>$AB$10</f>
        <v>6.25E-2</v>
      </c>
      <c r="AC142" s="181">
        <f>$AC$10</f>
        <v>0</v>
      </c>
      <c r="AD142" s="181">
        <f>$AD$10</f>
        <v>0</v>
      </c>
      <c r="AE142" s="181">
        <f>IF($G$6&gt;$AB$4,0,IF($AB$5=3,0,AB142-AC142))</f>
        <v>6.25E-2</v>
      </c>
      <c r="AF142" s="181">
        <f>IF($G$6&gt;$AB$4,0,IF($AB$5=3,0,AB142-AD142))</f>
        <v>6.25E-2</v>
      </c>
      <c r="AG142" s="182">
        <f>Z142*AE142*AG139</f>
        <v>0</v>
      </c>
      <c r="AH142" s="182">
        <f>AA142*AF142*AG139</f>
        <v>0</v>
      </c>
      <c r="AI142" s="182">
        <f>AG142+AH142</f>
        <v>0</v>
      </c>
    </row>
    <row r="143" spans="1:35">
      <c r="A143" s="577"/>
      <c r="B143" s="577"/>
      <c r="C143" s="577"/>
      <c r="D143" s="577"/>
      <c r="E143" s="577"/>
      <c r="F143" s="577"/>
      <c r="G143" s="577"/>
      <c r="H143" s="577"/>
      <c r="I143" s="577"/>
      <c r="J143" s="577"/>
      <c r="K143" s="1778"/>
      <c r="L143" s="1782">
        <f>$L$11</f>
        <v>1000</v>
      </c>
      <c r="M143" s="1782"/>
      <c r="N143" s="180">
        <f>$N$11</f>
        <v>0</v>
      </c>
      <c r="O143" s="190">
        <f>$O$11</f>
        <v>0</v>
      </c>
      <c r="P143" s="190">
        <f>P145*N143</f>
        <v>0</v>
      </c>
      <c r="Q143" s="214">
        <f>$Q$11</f>
        <v>4.8800000000000003E-2</v>
      </c>
      <c r="R143" s="210">
        <f>$R$11</f>
        <v>0.05</v>
      </c>
      <c r="S143" s="182">
        <f>P143*Q143*S139</f>
        <v>0</v>
      </c>
      <c r="T143" s="182">
        <f>P143*R143*T139</f>
        <v>0</v>
      </c>
      <c r="U143" s="182">
        <f>S143+T143</f>
        <v>0</v>
      </c>
      <c r="V143" s="228" t="s">
        <v>238</v>
      </c>
      <c r="W143" s="230">
        <v>500</v>
      </c>
      <c r="X143" s="180">
        <f>N143</f>
        <v>0</v>
      </c>
      <c r="Y143" s="190">
        <f>Y144*N143</f>
        <v>0</v>
      </c>
      <c r="Z143" s="190">
        <f>IF(O143=0,0,IF((Y143/O143)&gt;Z139,O143*Z139,Y143))</f>
        <v>0</v>
      </c>
      <c r="AA143" s="190">
        <f>IF(O143=0,0,IF((Y143/O143)&gt;Z139,Y143-(O143*Z139),0))</f>
        <v>0</v>
      </c>
      <c r="AB143" s="214">
        <f>$AB$11</f>
        <v>4.8800000000000003E-2</v>
      </c>
      <c r="AC143" s="181">
        <f>$AC$11</f>
        <v>0</v>
      </c>
      <c r="AD143" s="181">
        <f>$AD$11</f>
        <v>0</v>
      </c>
      <c r="AE143" s="181">
        <f>IF($G$6&gt;$AB$4,0,IF($AB$5=3,0,AB143-AC143))</f>
        <v>4.8800000000000003E-2</v>
      </c>
      <c r="AF143" s="181">
        <f>IF($G$6&gt;$AB$4,0,IF($AB$5=3,0,AB143-AD143))</f>
        <v>4.8800000000000003E-2</v>
      </c>
      <c r="AG143" s="182">
        <f>Z143*AE143*AG139</f>
        <v>0</v>
      </c>
      <c r="AH143" s="182">
        <f>AA143*AF143*AG139</f>
        <v>0</v>
      </c>
      <c r="AI143" s="182">
        <f>AG143+AH143</f>
        <v>0</v>
      </c>
    </row>
    <row r="144" spans="1:35">
      <c r="A144" s="577"/>
      <c r="B144" s="577"/>
      <c r="C144" s="577"/>
      <c r="D144" s="577"/>
      <c r="E144" s="577"/>
      <c r="F144" s="577"/>
      <c r="G144" s="577"/>
      <c r="H144" s="577"/>
      <c r="I144" s="577"/>
      <c r="J144" s="577"/>
      <c r="K144" s="1778"/>
      <c r="L144" s="1783">
        <f>$L$12</f>
        <v>1000</v>
      </c>
      <c r="M144" s="1783"/>
      <c r="N144" s="180">
        <f>$N$12</f>
        <v>0</v>
      </c>
      <c r="O144" s="190">
        <f>$O$12</f>
        <v>0</v>
      </c>
      <c r="P144" s="190">
        <f>P145*N144</f>
        <v>0</v>
      </c>
      <c r="Q144" s="214">
        <f>$Q$12</f>
        <v>4.3999999999999997E-2</v>
      </c>
      <c r="R144" s="210">
        <f>$R$12</f>
        <v>0.05</v>
      </c>
      <c r="S144" s="182">
        <f>P144*Q144*S139</f>
        <v>0</v>
      </c>
      <c r="T144" s="182">
        <f>P144*R144*T139</f>
        <v>0</v>
      </c>
      <c r="U144" s="182">
        <f>S144+T144</f>
        <v>0</v>
      </c>
      <c r="V144" s="184"/>
      <c r="W144" s="185" t="str">
        <f>M145</f>
        <v xml:space="preserve"> gesamt</v>
      </c>
      <c r="X144" s="186">
        <f>N145</f>
        <v>1</v>
      </c>
      <c r="Y144" s="195">
        <f>O145-P145</f>
        <v>0</v>
      </c>
      <c r="Z144" s="195">
        <f>SUM(Z141:Z143)</f>
        <v>0</v>
      </c>
      <c r="AA144" s="195">
        <f>SUM(AA141:AA143)</f>
        <v>0</v>
      </c>
      <c r="AB144" s="215"/>
      <c r="AC144" s="216"/>
      <c r="AD144" s="196"/>
      <c r="AE144" s="196"/>
      <c r="AF144" s="196"/>
      <c r="AG144" s="196">
        <f>SUM(AG141:AG143)</f>
        <v>0</v>
      </c>
      <c r="AH144" s="196">
        <f>SUM(AH141:AH143)</f>
        <v>0</v>
      </c>
      <c r="AI144" s="216">
        <f>SUM(AI141:AI143)</f>
        <v>0</v>
      </c>
    </row>
    <row r="145" spans="1:35">
      <c r="A145" s="577"/>
      <c r="B145" s="577"/>
      <c r="C145" s="577"/>
      <c r="D145" s="577"/>
      <c r="E145" s="577"/>
      <c r="F145" s="577"/>
      <c r="G145" s="577"/>
      <c r="H145" s="577"/>
      <c r="I145" s="577"/>
      <c r="J145" s="577"/>
      <c r="K145" s="1778"/>
      <c r="L145" s="184"/>
      <c r="M145" s="185" t="s">
        <v>216</v>
      </c>
      <c r="N145" s="186">
        <f>SUM(N141:N144)</f>
        <v>1</v>
      </c>
      <c r="O145" s="195">
        <f>$O$13</f>
        <v>0</v>
      </c>
      <c r="P145" s="195">
        <f>O145*(1-K138)</f>
        <v>0</v>
      </c>
      <c r="Q145" s="215"/>
      <c r="R145" s="211"/>
      <c r="S145" s="196">
        <f>SUM(S141:S144)</f>
        <v>0</v>
      </c>
      <c r="T145" s="196">
        <f>SUM(T141:T144)</f>
        <v>0</v>
      </c>
      <c r="U145" s="196">
        <f>SUM(U141:U144)</f>
        <v>0</v>
      </c>
      <c r="V145" s="177"/>
      <c r="W145" s="178"/>
      <c r="X145" s="179"/>
      <c r="Y145" s="179"/>
      <c r="Z145" s="1784">
        <f>Z144+AA144</f>
        <v>0</v>
      </c>
      <c r="AA145" s="1785"/>
      <c r="AB145" s="197"/>
      <c r="AC145" s="197"/>
      <c r="AD145" s="177"/>
      <c r="AE145" s="177"/>
      <c r="AF145" s="177"/>
      <c r="AG145" s="1784">
        <f>AG144+AH144</f>
        <v>0</v>
      </c>
      <c r="AH145" s="1785"/>
      <c r="AI145" s="197"/>
    </row>
    <row r="146" spans="1:35">
      <c r="A146" s="577"/>
      <c r="B146" s="577"/>
      <c r="C146" s="577"/>
      <c r="D146" s="577"/>
      <c r="E146" s="577"/>
      <c r="F146" s="577"/>
      <c r="G146" s="577"/>
      <c r="H146" s="577"/>
      <c r="I146" s="577"/>
      <c r="J146" s="577"/>
      <c r="K146" s="1779"/>
      <c r="L146" s="177"/>
      <c r="M146" s="178" t="s">
        <v>206</v>
      </c>
      <c r="N146" s="590"/>
      <c r="O146" s="179">
        <f>SUM(O141:O144)</f>
        <v>0</v>
      </c>
      <c r="P146" s="179">
        <f>SUM(P141:P144)</f>
        <v>0</v>
      </c>
      <c r="Q146" s="197"/>
      <c r="R146" s="197"/>
      <c r="S146" s="1784">
        <f>S145+T145</f>
        <v>0</v>
      </c>
      <c r="T146" s="1785"/>
      <c r="U146" s="225"/>
      <c r="V146" s="591"/>
      <c r="W146" s="577"/>
      <c r="X146" s="591"/>
      <c r="Y146" s="591"/>
      <c r="Z146" s="591"/>
      <c r="AA146" s="577"/>
      <c r="AB146" s="592">
        <f>IF(O145=0,0,Z144/O145)</f>
        <v>0</v>
      </c>
      <c r="AC146" s="592">
        <f>IF(O145=0,0,AA144/O145)</f>
        <v>0</v>
      </c>
      <c r="AD146" s="591"/>
      <c r="AE146" s="577"/>
      <c r="AF146" s="591"/>
      <c r="AG146" s="577"/>
      <c r="AH146" s="577"/>
      <c r="AI146" s="591"/>
    </row>
    <row r="147" spans="1:35">
      <c r="A147" s="577"/>
      <c r="B147" s="577"/>
      <c r="C147" s="577"/>
      <c r="D147" s="577"/>
      <c r="E147" s="577"/>
      <c r="F147" s="577"/>
      <c r="G147" s="577"/>
      <c r="H147" s="577"/>
      <c r="I147" s="577"/>
      <c r="J147" s="577"/>
      <c r="K147" s="604"/>
      <c r="L147" s="604"/>
      <c r="M147" s="604"/>
      <c r="N147" s="604"/>
      <c r="O147" s="604"/>
      <c r="P147" s="604"/>
      <c r="Q147" s="18"/>
      <c r="R147" s="18"/>
      <c r="S147" s="334"/>
      <c r="T147" s="334"/>
      <c r="U147" s="18"/>
      <c r="V147" s="591"/>
      <c r="W147" s="577"/>
      <c r="X147" s="591"/>
      <c r="Y147" s="591"/>
      <c r="Z147" s="591"/>
      <c r="AA147" s="577"/>
      <c r="AB147" s="1775">
        <f>AB146+AC146</f>
        <v>0</v>
      </c>
      <c r="AC147" s="1776"/>
      <c r="AD147" s="591"/>
      <c r="AE147" s="577"/>
      <c r="AF147" s="591"/>
      <c r="AG147" s="577"/>
      <c r="AH147" s="577"/>
      <c r="AI147" s="591"/>
    </row>
    <row r="148" spans="1:35">
      <c r="A148" s="577"/>
      <c r="B148" s="577"/>
      <c r="C148" s="577"/>
      <c r="D148" s="577"/>
      <c r="E148" s="577"/>
      <c r="F148" s="577"/>
      <c r="G148" s="577"/>
      <c r="H148" s="577"/>
      <c r="I148" s="577"/>
      <c r="J148" s="577"/>
      <c r="K148" s="604"/>
      <c r="L148" s="604"/>
      <c r="M148" s="604"/>
      <c r="N148" s="604"/>
      <c r="O148" s="604"/>
      <c r="P148" s="604"/>
      <c r="Q148" s="18"/>
      <c r="R148" s="18"/>
      <c r="S148" s="334"/>
      <c r="T148" s="334"/>
      <c r="U148" s="18"/>
      <c r="V148" s="591"/>
      <c r="W148" s="577"/>
      <c r="X148" s="591"/>
      <c r="Y148" s="591"/>
      <c r="Z148" s="591"/>
      <c r="AA148" s="577"/>
      <c r="AB148" s="635"/>
      <c r="AC148" s="635"/>
      <c r="AD148" s="591"/>
      <c r="AE148" s="577"/>
      <c r="AF148" s="591"/>
      <c r="AG148" s="577"/>
      <c r="AH148" s="577"/>
      <c r="AI148" s="591"/>
    </row>
    <row r="149" spans="1:35">
      <c r="A149" s="577"/>
      <c r="B149" s="577"/>
      <c r="C149" s="577"/>
      <c r="D149" s="577"/>
      <c r="E149" s="577"/>
      <c r="F149" s="577"/>
      <c r="G149" s="577"/>
      <c r="H149" s="577"/>
      <c r="I149" s="577"/>
      <c r="J149" s="577"/>
      <c r="K149" s="604"/>
      <c r="L149" s="604"/>
      <c r="M149" s="604"/>
      <c r="N149" s="604"/>
      <c r="O149" s="604"/>
      <c r="P149" s="604"/>
      <c r="Q149" s="18"/>
      <c r="R149" s="18"/>
      <c r="S149" s="334"/>
      <c r="T149" s="334"/>
      <c r="U149" s="18"/>
      <c r="V149" s="591"/>
      <c r="W149" s="577"/>
      <c r="X149" s="591"/>
      <c r="Y149" s="591"/>
      <c r="Z149" s="591"/>
      <c r="AA149" s="577"/>
      <c r="AB149" s="635"/>
      <c r="AC149" s="635"/>
      <c r="AD149" s="591"/>
      <c r="AE149" s="577"/>
      <c r="AF149" s="591"/>
      <c r="AG149" s="577"/>
      <c r="AH149" s="577"/>
      <c r="AI149" s="591"/>
    </row>
    <row r="150" spans="1:35">
      <c r="A150" s="577"/>
      <c r="B150" s="577"/>
      <c r="C150" s="577"/>
      <c r="D150" s="577"/>
      <c r="E150" s="577"/>
      <c r="F150" s="577"/>
      <c r="G150" s="577"/>
      <c r="H150" s="577"/>
      <c r="I150" s="577"/>
      <c r="J150" s="577"/>
      <c r="K150" s="604"/>
      <c r="L150" s="604"/>
      <c r="M150" s="604"/>
      <c r="N150" s="604"/>
      <c r="O150" s="604"/>
      <c r="P150" s="604"/>
      <c r="Q150" s="18"/>
      <c r="R150" s="18"/>
      <c r="S150" s="334"/>
      <c r="T150" s="334"/>
      <c r="U150" s="18"/>
      <c r="V150" s="591"/>
      <c r="W150" s="577"/>
      <c r="X150" s="591"/>
      <c r="Y150" s="591"/>
      <c r="Z150" s="591"/>
      <c r="AA150" s="577"/>
      <c r="AB150" s="635"/>
      <c r="AC150" s="635"/>
      <c r="AD150" s="591"/>
      <c r="AE150" s="577"/>
      <c r="AF150" s="591"/>
      <c r="AG150" s="577"/>
      <c r="AH150" s="577"/>
      <c r="AI150" s="591"/>
    </row>
    <row r="151" spans="1:35">
      <c r="A151" s="577"/>
      <c r="B151" s="577"/>
      <c r="C151" s="577"/>
      <c r="D151" s="577"/>
      <c r="E151" s="577"/>
      <c r="F151" s="577"/>
      <c r="G151" s="577"/>
      <c r="H151" s="577"/>
      <c r="I151" s="577"/>
      <c r="J151" s="577"/>
      <c r="K151" s="604"/>
      <c r="L151" s="604"/>
      <c r="M151" s="604"/>
      <c r="N151" s="604"/>
      <c r="O151" s="604"/>
      <c r="P151" s="604"/>
      <c r="Q151" s="18"/>
      <c r="R151" s="18"/>
      <c r="S151" s="334"/>
      <c r="T151" s="334"/>
      <c r="U151" s="18"/>
      <c r="V151" s="591"/>
      <c r="W151" s="577"/>
      <c r="X151" s="591"/>
      <c r="Y151" s="591"/>
      <c r="Z151" s="591"/>
      <c r="AA151" s="577"/>
      <c r="AB151" s="635"/>
      <c r="AC151" s="635"/>
      <c r="AD151" s="591"/>
      <c r="AE151" s="577"/>
      <c r="AF151" s="591"/>
      <c r="AG151" s="577"/>
      <c r="AH151" s="577"/>
      <c r="AI151" s="591"/>
    </row>
    <row r="152" spans="1:35">
      <c r="A152" s="577"/>
      <c r="B152" s="577"/>
      <c r="C152" s="577"/>
      <c r="D152" s="577"/>
      <c r="E152" s="577"/>
      <c r="F152" s="577"/>
      <c r="G152" s="577"/>
      <c r="H152" s="577"/>
      <c r="I152" s="577"/>
      <c r="J152" s="577"/>
      <c r="K152" s="604"/>
      <c r="L152" s="604"/>
      <c r="M152" s="604"/>
      <c r="N152" s="604"/>
      <c r="O152" s="604"/>
      <c r="P152" s="604"/>
      <c r="Q152" s="18"/>
      <c r="R152" s="18"/>
      <c r="S152" s="334"/>
      <c r="T152" s="334"/>
      <c r="U152" s="18"/>
      <c r="V152" s="591"/>
      <c r="W152" s="577"/>
      <c r="X152" s="591"/>
      <c r="Y152" s="591"/>
      <c r="Z152" s="591"/>
      <c r="AA152" s="577"/>
      <c r="AB152" s="635"/>
      <c r="AC152" s="635"/>
      <c r="AD152" s="591"/>
      <c r="AE152" s="577"/>
      <c r="AF152" s="591"/>
      <c r="AG152" s="577"/>
      <c r="AH152" s="577"/>
      <c r="AI152" s="591"/>
    </row>
    <row r="153" spans="1:35">
      <c r="A153" s="577"/>
      <c r="B153" s="577"/>
      <c r="C153" s="577"/>
      <c r="D153" s="577"/>
      <c r="E153" s="577"/>
      <c r="F153" s="577"/>
      <c r="G153" s="577"/>
      <c r="H153" s="577"/>
      <c r="I153" s="577"/>
      <c r="J153" s="577"/>
      <c r="K153" s="604"/>
      <c r="L153" s="604"/>
      <c r="M153" s="604"/>
      <c r="N153" s="604"/>
      <c r="O153" s="604"/>
      <c r="P153" s="604"/>
      <c r="Q153" s="18"/>
      <c r="R153" s="18"/>
      <c r="S153" s="334"/>
      <c r="T153" s="334"/>
      <c r="U153" s="18"/>
      <c r="V153" s="591"/>
      <c r="W153" s="577"/>
      <c r="X153" s="591"/>
      <c r="Y153" s="591"/>
      <c r="Z153" s="591"/>
      <c r="AA153" s="577"/>
      <c r="AB153" s="635"/>
      <c r="AC153" s="635"/>
      <c r="AD153" s="591"/>
      <c r="AE153" s="577"/>
      <c r="AF153" s="591"/>
      <c r="AG153" s="577"/>
      <c r="AH153" s="577"/>
      <c r="AI153" s="591"/>
    </row>
    <row r="154" spans="1:35">
      <c r="A154" s="577"/>
      <c r="B154" s="577"/>
      <c r="C154" s="577"/>
      <c r="D154" s="577"/>
      <c r="E154" s="577"/>
      <c r="F154" s="577"/>
      <c r="G154" s="577"/>
      <c r="H154" s="577"/>
      <c r="I154" s="577"/>
      <c r="J154" s="577"/>
      <c r="K154" s="604"/>
      <c r="L154" s="604"/>
      <c r="M154" s="604"/>
      <c r="N154" s="604"/>
      <c r="O154" s="604"/>
      <c r="P154" s="604"/>
      <c r="Q154" s="18"/>
      <c r="R154" s="18"/>
      <c r="S154" s="334"/>
      <c r="T154" s="334"/>
      <c r="U154" s="18"/>
      <c r="V154" s="591"/>
      <c r="W154" s="577"/>
      <c r="X154" s="591"/>
      <c r="Y154" s="591"/>
      <c r="Z154" s="591"/>
      <c r="AA154" s="577"/>
      <c r="AB154" s="635"/>
      <c r="AC154" s="635"/>
      <c r="AD154" s="591"/>
      <c r="AE154" s="577"/>
      <c r="AF154" s="591"/>
      <c r="AG154" s="577"/>
      <c r="AH154" s="577"/>
      <c r="AI154" s="591"/>
    </row>
    <row r="155" spans="1:35">
      <c r="A155" s="605">
        <f>SUM(A156:A167)</f>
        <v>11</v>
      </c>
      <c r="B155" s="606">
        <f>SUM(B156:B167)</f>
        <v>0</v>
      </c>
      <c r="C155" s="577"/>
      <c r="D155" s="577"/>
      <c r="E155" s="607" t="s">
        <v>227</v>
      </c>
      <c r="F155" s="577"/>
      <c r="G155" s="577"/>
      <c r="H155" s="577"/>
      <c r="I155" s="577"/>
      <c r="J155" s="577"/>
      <c r="K155" s="604"/>
      <c r="L155" s="604"/>
      <c r="M155" s="604"/>
      <c r="N155" s="604"/>
      <c r="O155" s="604"/>
      <c r="P155" s="604"/>
      <c r="Q155" s="18"/>
      <c r="R155" s="18"/>
      <c r="S155" s="334"/>
      <c r="T155" s="334"/>
      <c r="U155" s="18"/>
      <c r="V155" s="591"/>
      <c r="W155" s="577"/>
      <c r="X155" s="591"/>
      <c r="Y155" s="591"/>
      <c r="Z155" s="591"/>
      <c r="AA155" s="577"/>
      <c r="AB155" s="635"/>
      <c r="AC155" s="635"/>
      <c r="AD155" s="591"/>
      <c r="AE155" s="577"/>
      <c r="AF155" s="591"/>
      <c r="AG155" s="577"/>
      <c r="AH155" s="577"/>
      <c r="AI155" s="591"/>
    </row>
    <row r="156" spans="1:35">
      <c r="A156" s="577">
        <f>IF($F$10=1,IF(AND(F12&lt;=12,G6&lt;=G14),C156,0),0)</f>
        <v>0</v>
      </c>
      <c r="B156" s="577"/>
      <c r="C156" s="577">
        <v>1</v>
      </c>
      <c r="D156" s="577"/>
      <c r="E156" s="607" t="s">
        <v>171</v>
      </c>
      <c r="F156" s="607" t="s">
        <v>180</v>
      </c>
      <c r="G156" s="577"/>
      <c r="H156" s="577"/>
      <c r="I156" s="577"/>
      <c r="J156" s="577"/>
      <c r="K156" s="604"/>
      <c r="L156" s="604"/>
      <c r="M156" s="604"/>
      <c r="N156" s="604"/>
      <c r="O156" s="604"/>
      <c r="P156" s="604"/>
      <c r="Q156" s="577"/>
      <c r="R156" s="577"/>
      <c r="S156" s="577"/>
      <c r="T156" s="577"/>
      <c r="U156" s="577"/>
      <c r="V156" s="577"/>
      <c r="W156" s="577"/>
      <c r="X156" s="577"/>
      <c r="Y156" s="577"/>
      <c r="Z156" s="577"/>
      <c r="AA156" s="577"/>
      <c r="AB156" s="577"/>
      <c r="AC156" s="577"/>
      <c r="AD156" s="577"/>
      <c r="AE156" s="577"/>
      <c r="AF156" s="577"/>
      <c r="AG156" s="577"/>
      <c r="AH156" s="577"/>
      <c r="AI156" s="577"/>
    </row>
    <row r="157" spans="1:35">
      <c r="A157" s="577">
        <f>IF($F$10=1,IF(AND(F12&lt;=12,G6&gt;G14),C157,0),0)</f>
        <v>0</v>
      </c>
      <c r="B157" s="608">
        <f>IF(A157&gt;0,1,0)</f>
        <v>0</v>
      </c>
      <c r="C157" s="577">
        <v>2</v>
      </c>
      <c r="D157" s="577"/>
      <c r="E157" s="607" t="s">
        <v>172</v>
      </c>
      <c r="F157" s="607" t="s">
        <v>177</v>
      </c>
      <c r="G157" s="577"/>
      <c r="H157" s="577"/>
      <c r="I157" s="577"/>
      <c r="J157" s="577"/>
      <c r="K157" s="604"/>
      <c r="L157" s="604"/>
      <c r="M157" s="604"/>
      <c r="N157" s="604"/>
      <c r="O157" s="604"/>
      <c r="P157" s="604"/>
      <c r="Q157" s="577"/>
      <c r="R157" s="577"/>
      <c r="S157" s="577"/>
      <c r="T157" s="577"/>
      <c r="U157" s="577"/>
      <c r="V157" s="577"/>
      <c r="W157" s="577"/>
      <c r="X157" s="577"/>
      <c r="Y157" s="577"/>
      <c r="Z157" s="577"/>
      <c r="AA157" s="577"/>
      <c r="AB157" s="577"/>
      <c r="AC157" s="577"/>
      <c r="AD157" s="577"/>
      <c r="AE157" s="577"/>
      <c r="AF157" s="577"/>
      <c r="AG157" s="577"/>
      <c r="AH157" s="577"/>
      <c r="AI157" s="577"/>
    </row>
    <row r="158" spans="1:35">
      <c r="A158" s="577">
        <f>IF($F$10=1,IF(AND(F12&gt;=13,F12&lt;=18,G6&lt;=G14),C158,0),0)</f>
        <v>0</v>
      </c>
      <c r="B158" s="608"/>
      <c r="C158" s="577">
        <v>3</v>
      </c>
      <c r="D158" s="577"/>
      <c r="E158" s="607" t="s">
        <v>176</v>
      </c>
      <c r="F158" s="607" t="s">
        <v>181</v>
      </c>
      <c r="G158" s="577"/>
      <c r="H158" s="577"/>
      <c r="I158" s="577"/>
      <c r="J158" s="577"/>
      <c r="K158" s="577"/>
      <c r="L158" s="591"/>
      <c r="M158" s="577"/>
      <c r="N158" s="577"/>
      <c r="O158" s="577"/>
      <c r="P158" s="577"/>
      <c r="Q158" s="577"/>
      <c r="R158" s="577"/>
      <c r="S158" s="577"/>
      <c r="T158" s="577"/>
      <c r="U158" s="577"/>
      <c r="V158" s="577"/>
      <c r="W158" s="577"/>
      <c r="X158" s="577"/>
      <c r="Y158" s="577"/>
      <c r="Z158" s="577"/>
      <c r="AA158" s="577"/>
      <c r="AB158" s="577"/>
      <c r="AC158" s="577"/>
      <c r="AD158" s="577"/>
      <c r="AE158" s="577"/>
      <c r="AF158" s="577"/>
      <c r="AG158" s="577"/>
      <c r="AH158" s="577"/>
      <c r="AI158" s="577"/>
    </row>
    <row r="159" spans="1:35">
      <c r="A159" s="577">
        <f>IF($F$10=1,IF(AND(F12&gt;=13,F12&lt;=18,G6&gt;G14),C159,0),0)</f>
        <v>0</v>
      </c>
      <c r="B159" s="608">
        <f>IF(A159&gt;0,1,0)</f>
        <v>0</v>
      </c>
      <c r="C159" s="577">
        <v>4</v>
      </c>
      <c r="D159" s="577"/>
      <c r="E159" s="607" t="s">
        <v>184</v>
      </c>
      <c r="F159" s="607" t="s">
        <v>178</v>
      </c>
      <c r="G159" s="577"/>
      <c r="H159" s="577"/>
      <c r="I159" s="577"/>
      <c r="J159" s="577"/>
      <c r="K159" s="577"/>
      <c r="L159" s="591"/>
      <c r="M159" s="577"/>
      <c r="N159" s="577"/>
      <c r="O159" s="577"/>
      <c r="P159" s="577"/>
      <c r="Q159" s="577"/>
      <c r="R159" s="577"/>
      <c r="S159" s="577"/>
      <c r="T159" s="577"/>
      <c r="U159" s="577"/>
      <c r="V159" s="577"/>
      <c r="W159" s="577"/>
      <c r="X159" s="577"/>
      <c r="Y159" s="577"/>
      <c r="Z159" s="577"/>
      <c r="AA159" s="577"/>
      <c r="AB159" s="577"/>
      <c r="AC159" s="577"/>
      <c r="AD159" s="577"/>
      <c r="AE159" s="577"/>
      <c r="AF159" s="577"/>
      <c r="AG159" s="577"/>
      <c r="AH159" s="577"/>
      <c r="AI159" s="577"/>
    </row>
    <row r="160" spans="1:35">
      <c r="A160" s="577">
        <f>IF($F$10=1,IF(AND(F12&gt;=19,F12&lt;=24,G6&lt;=G14),C160,0),0)</f>
        <v>0</v>
      </c>
      <c r="B160" s="608"/>
      <c r="C160" s="577">
        <v>5</v>
      </c>
      <c r="D160" s="577"/>
      <c r="E160" s="607" t="s">
        <v>179</v>
      </c>
      <c r="F160" s="607" t="s">
        <v>182</v>
      </c>
      <c r="G160" s="577"/>
      <c r="H160" s="577"/>
      <c r="I160" s="577"/>
      <c r="J160" s="577"/>
      <c r="K160" s="577"/>
      <c r="L160" s="591"/>
      <c r="M160" s="577"/>
      <c r="N160" s="577"/>
      <c r="O160" s="577"/>
      <c r="P160" s="577"/>
      <c r="Q160" s="577"/>
      <c r="R160" s="577"/>
      <c r="S160" s="577"/>
      <c r="T160" s="577"/>
      <c r="U160" s="577"/>
      <c r="V160" s="577"/>
      <c r="W160" s="577"/>
      <c r="X160" s="577"/>
      <c r="Y160" s="577"/>
      <c r="Z160" s="577"/>
      <c r="AA160" s="577"/>
      <c r="AB160" s="577"/>
      <c r="AC160" s="577"/>
      <c r="AD160" s="577"/>
      <c r="AE160" s="577"/>
      <c r="AF160" s="577"/>
      <c r="AG160" s="577"/>
      <c r="AH160" s="577"/>
      <c r="AI160" s="577"/>
    </row>
    <row r="161" spans="1:35">
      <c r="A161" s="577">
        <f>IF($F$10=1,IF(AND(F12&gt;=19,F12&lt;=24,G6&gt;G14),C161,0),0)</f>
        <v>0</v>
      </c>
      <c r="B161" s="608">
        <f>IF(A161&gt;0,1,0)</f>
        <v>0</v>
      </c>
      <c r="C161" s="577">
        <v>6</v>
      </c>
      <c r="D161" s="577"/>
      <c r="E161" s="607" t="s">
        <v>183</v>
      </c>
      <c r="F161" s="607" t="s">
        <v>189</v>
      </c>
      <c r="G161" s="577"/>
      <c r="H161" s="577"/>
      <c r="I161" s="577"/>
      <c r="J161" s="577"/>
      <c r="K161" s="577"/>
      <c r="L161" s="591"/>
      <c r="M161" s="577"/>
      <c r="N161" s="577"/>
      <c r="O161" s="577"/>
      <c r="P161" s="577"/>
      <c r="Q161" s="577"/>
      <c r="R161" s="577"/>
      <c r="S161" s="577"/>
      <c r="T161" s="577"/>
      <c r="U161" s="577"/>
      <c r="V161" s="577"/>
      <c r="W161" s="577"/>
      <c r="X161" s="577"/>
      <c r="Y161" s="577"/>
      <c r="Z161" s="577"/>
      <c r="AA161" s="577"/>
      <c r="AB161" s="577"/>
      <c r="AC161" s="577"/>
      <c r="AD161" s="577"/>
      <c r="AE161" s="577"/>
      <c r="AF161" s="577"/>
      <c r="AG161" s="577"/>
      <c r="AH161" s="577"/>
      <c r="AI161" s="577"/>
    </row>
    <row r="162" spans="1:35">
      <c r="A162" s="577">
        <f>IF($F$10=1,IF(AND(F12&gt;=25,F12&lt;=36,G6&lt;=G14),C162,0),0)</f>
        <v>0</v>
      </c>
      <c r="B162" s="608"/>
      <c r="C162" s="577">
        <v>7</v>
      </c>
      <c r="D162" s="577"/>
      <c r="E162" s="607" t="s">
        <v>185</v>
      </c>
      <c r="F162" s="607" t="s">
        <v>187</v>
      </c>
      <c r="G162" s="577"/>
      <c r="H162" s="577"/>
      <c r="I162" s="577"/>
      <c r="J162" s="577"/>
      <c r="K162" s="577"/>
      <c r="L162" s="591"/>
      <c r="M162" s="577"/>
      <c r="N162" s="577"/>
      <c r="O162" s="577"/>
      <c r="P162" s="577"/>
      <c r="Q162" s="577"/>
      <c r="R162" s="577"/>
      <c r="S162" s="577"/>
      <c r="T162" s="577"/>
      <c r="U162" s="577"/>
      <c r="V162" s="577"/>
      <c r="W162" s="577"/>
      <c r="X162" s="577"/>
      <c r="Y162" s="577"/>
      <c r="Z162" s="577"/>
      <c r="AA162" s="577"/>
      <c r="AB162" s="577"/>
      <c r="AC162" s="577"/>
      <c r="AD162" s="577"/>
      <c r="AE162" s="577"/>
      <c r="AF162" s="577"/>
      <c r="AG162" s="577"/>
      <c r="AH162" s="577"/>
      <c r="AI162" s="577"/>
    </row>
    <row r="163" spans="1:35">
      <c r="A163" s="577">
        <f>IF($F$10=1,IF(AND(F12&gt;=25,F12&lt;=36,G6&gt;G14),C163,0),0)</f>
        <v>0</v>
      </c>
      <c r="B163" s="608">
        <f>IF(A163&gt;0,1,0)</f>
        <v>0</v>
      </c>
      <c r="C163" s="577">
        <v>8</v>
      </c>
      <c r="D163" s="577"/>
      <c r="E163" s="607" t="s">
        <v>186</v>
      </c>
      <c r="F163" s="607" t="s">
        <v>188</v>
      </c>
      <c r="G163" s="577"/>
      <c r="H163" s="577"/>
      <c r="I163" s="577"/>
      <c r="J163" s="577"/>
      <c r="K163" s="577"/>
      <c r="L163" s="591"/>
      <c r="M163" s="577"/>
      <c r="N163" s="577"/>
      <c r="O163" s="577"/>
      <c r="P163" s="577"/>
      <c r="Q163" s="577"/>
      <c r="R163" s="577"/>
      <c r="S163" s="577"/>
      <c r="T163" s="577"/>
      <c r="U163" s="577"/>
      <c r="V163" s="577"/>
      <c r="W163" s="577"/>
      <c r="X163" s="577"/>
      <c r="Y163" s="577"/>
      <c r="Z163" s="577"/>
      <c r="AA163" s="577"/>
      <c r="AB163" s="577"/>
      <c r="AC163" s="577"/>
      <c r="AD163" s="577"/>
      <c r="AE163" s="577"/>
      <c r="AF163" s="577"/>
      <c r="AG163" s="577"/>
      <c r="AH163" s="577"/>
      <c r="AI163" s="577"/>
    </row>
    <row r="164" spans="1:35">
      <c r="A164" s="577">
        <f>IF($F$10=1,IF(AND(F12&gt;=37,F12&lt;=39,G6&lt;=G14),C164,0),0)</f>
        <v>0</v>
      </c>
      <c r="B164" s="608"/>
      <c r="C164" s="577">
        <v>9</v>
      </c>
      <c r="D164" s="577"/>
      <c r="E164" s="607" t="s">
        <v>190</v>
      </c>
      <c r="F164" s="607" t="s">
        <v>192</v>
      </c>
      <c r="G164" s="577"/>
      <c r="H164" s="577"/>
      <c r="I164" s="577"/>
      <c r="J164" s="577"/>
      <c r="K164" s="577"/>
      <c r="L164" s="591"/>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row>
    <row r="165" spans="1:35">
      <c r="A165" s="577">
        <f>IF($F$10=1,IF(AND(F12&gt;=37,F12&lt;=39,G6&gt;G14),C165,0),0)</f>
        <v>0</v>
      </c>
      <c r="B165" s="608">
        <f>IF(A165&gt;0,1,0)</f>
        <v>0</v>
      </c>
      <c r="C165" s="577">
        <v>10</v>
      </c>
      <c r="D165" s="577"/>
      <c r="E165" s="607" t="s">
        <v>191</v>
      </c>
      <c r="F165" s="607" t="s">
        <v>193</v>
      </c>
      <c r="G165" s="577"/>
      <c r="H165" s="577"/>
      <c r="I165" s="577"/>
      <c r="J165" s="577"/>
      <c r="K165" s="577"/>
      <c r="L165" s="591"/>
      <c r="M165" s="577"/>
      <c r="N165" s="577"/>
      <c r="O165" s="577"/>
      <c r="P165" s="577"/>
      <c r="Q165" s="577"/>
      <c r="R165" s="577"/>
      <c r="S165" s="577"/>
      <c r="T165" s="577"/>
      <c r="U165" s="577"/>
      <c r="V165" s="577"/>
      <c r="W165" s="577"/>
      <c r="X165" s="577"/>
      <c r="Y165" s="577"/>
      <c r="Z165" s="577"/>
      <c r="AA165" s="577"/>
      <c r="AB165" s="577"/>
      <c r="AC165" s="577"/>
      <c r="AD165" s="577"/>
      <c r="AE165" s="577"/>
      <c r="AF165" s="577"/>
      <c r="AG165" s="577"/>
      <c r="AH165" s="577"/>
      <c r="AI165" s="577"/>
    </row>
    <row r="166" spans="1:35">
      <c r="A166" s="577">
        <f>IF($F$10=1,IF(AND(F12&gt;=40),C166,0),0)</f>
        <v>11</v>
      </c>
      <c r="B166" s="608"/>
      <c r="C166" s="577">
        <v>11</v>
      </c>
      <c r="D166" s="577"/>
      <c r="E166" s="607" t="s">
        <v>194</v>
      </c>
      <c r="F166" s="854" t="s">
        <v>737</v>
      </c>
      <c r="G166" s="577"/>
      <c r="H166" s="577"/>
      <c r="I166" s="577"/>
      <c r="J166" s="577"/>
      <c r="K166" s="577"/>
      <c r="L166" s="591"/>
      <c r="M166" s="577"/>
      <c r="N166" s="577"/>
      <c r="O166" s="577"/>
      <c r="P166" s="577"/>
      <c r="Q166" s="577"/>
      <c r="R166" s="577"/>
      <c r="S166" s="577"/>
      <c r="T166" s="577"/>
      <c r="U166" s="577"/>
      <c r="V166" s="577"/>
      <c r="W166" s="577"/>
      <c r="X166" s="577"/>
      <c r="Y166" s="577"/>
      <c r="Z166" s="577"/>
      <c r="AA166" s="577"/>
      <c r="AB166" s="577"/>
      <c r="AC166" s="577"/>
      <c r="AD166" s="577"/>
      <c r="AE166" s="577"/>
      <c r="AF166" s="577"/>
      <c r="AG166" s="577"/>
      <c r="AH166" s="577"/>
      <c r="AI166" s="577"/>
    </row>
    <row r="167" spans="1:35">
      <c r="A167" s="577">
        <f>IF($F$10=2,C167,0)</f>
        <v>0</v>
      </c>
      <c r="B167" s="608"/>
      <c r="C167" s="577">
        <v>12</v>
      </c>
      <c r="D167" s="577"/>
      <c r="E167" s="607" t="s">
        <v>195</v>
      </c>
      <c r="F167" s="607" t="s">
        <v>331</v>
      </c>
      <c r="G167" s="577"/>
      <c r="H167" s="577"/>
      <c r="I167" s="577"/>
      <c r="J167" s="577"/>
      <c r="K167" s="577"/>
      <c r="L167" s="591"/>
      <c r="M167" s="577"/>
      <c r="N167" s="577"/>
      <c r="O167" s="577"/>
      <c r="P167" s="577"/>
      <c r="Q167" s="577"/>
      <c r="R167" s="577"/>
      <c r="S167" s="577"/>
      <c r="T167" s="577"/>
      <c r="U167" s="577"/>
      <c r="V167" s="577"/>
      <c r="W167" s="577"/>
      <c r="X167" s="577"/>
      <c r="Y167" s="577"/>
      <c r="Z167" s="577"/>
      <c r="AA167" s="577"/>
      <c r="AB167" s="577"/>
      <c r="AC167" s="577"/>
      <c r="AD167" s="577"/>
      <c r="AE167" s="577"/>
      <c r="AF167" s="577"/>
      <c r="AG167" s="577"/>
      <c r="AH167" s="577"/>
      <c r="AI167" s="577"/>
    </row>
    <row r="168" spans="1:35">
      <c r="A168" s="577"/>
      <c r="B168" s="608"/>
      <c r="C168" s="577"/>
      <c r="D168" s="577"/>
      <c r="E168" s="577"/>
      <c r="F168" s="577"/>
      <c r="G168" s="577"/>
      <c r="H168" s="577"/>
      <c r="I168" s="577"/>
      <c r="J168" s="577"/>
      <c r="K168" s="577"/>
      <c r="L168" s="591"/>
      <c r="M168" s="577"/>
      <c r="N168" s="577"/>
      <c r="O168" s="577"/>
      <c r="P168" s="577"/>
      <c r="Q168" s="577"/>
      <c r="R168" s="577"/>
      <c r="S168" s="577"/>
      <c r="T168" s="577"/>
      <c r="U168" s="577"/>
      <c r="V168" s="577"/>
      <c r="W168" s="577"/>
      <c r="X168" s="577"/>
      <c r="Y168" s="577"/>
      <c r="Z168" s="577"/>
      <c r="AA168" s="577"/>
      <c r="AB168" s="577"/>
      <c r="AC168" s="577"/>
      <c r="AD168" s="577"/>
      <c r="AE168" s="577"/>
      <c r="AF168" s="577"/>
      <c r="AG168" s="577"/>
      <c r="AH168" s="577"/>
      <c r="AI168" s="577"/>
    </row>
    <row r="169" spans="1:35">
      <c r="A169" s="577"/>
      <c r="B169" s="608"/>
      <c r="C169" s="577"/>
      <c r="D169" s="577"/>
      <c r="E169" s="577"/>
      <c r="F169" s="577"/>
      <c r="G169" s="577"/>
      <c r="H169" s="577"/>
      <c r="I169" s="577"/>
      <c r="J169" s="577"/>
      <c r="K169" s="577"/>
      <c r="L169" s="591"/>
      <c r="M169" s="577"/>
      <c r="N169" s="577"/>
      <c r="O169" s="577"/>
      <c r="P169" s="577"/>
      <c r="Q169" s="577"/>
      <c r="R169" s="577"/>
      <c r="S169" s="577"/>
      <c r="T169" s="577"/>
      <c r="U169" s="577"/>
      <c r="V169" s="577"/>
      <c r="W169" s="577"/>
      <c r="X169" s="577"/>
      <c r="Y169" s="577"/>
      <c r="Z169" s="577"/>
      <c r="AA169" s="577"/>
      <c r="AB169" s="577"/>
      <c r="AC169" s="577"/>
      <c r="AD169" s="577"/>
      <c r="AE169" s="577"/>
      <c r="AF169" s="577"/>
      <c r="AG169" s="577"/>
      <c r="AH169" s="577"/>
      <c r="AI169" s="577"/>
    </row>
    <row r="170" spans="1:35">
      <c r="A170" s="605">
        <f>SUM(A171:A178)</f>
        <v>8</v>
      </c>
      <c r="B170" s="606">
        <f>SUM(B171:B178)</f>
        <v>3</v>
      </c>
      <c r="C170" s="577"/>
      <c r="D170" s="577"/>
      <c r="E170" s="607" t="s">
        <v>228</v>
      </c>
      <c r="F170" s="577"/>
      <c r="G170" s="577"/>
      <c r="H170" s="577"/>
      <c r="I170" s="577"/>
      <c r="J170" s="577"/>
      <c r="K170" s="577"/>
      <c r="L170" s="591"/>
      <c r="M170" s="577"/>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row>
    <row r="171" spans="1:35">
      <c r="A171" s="577">
        <f>IF($F$10=2,0,IF(AND(G6&gt;0,G31&gt;0),IF(AND(F12&lt;=18,G6&lt;=G14),C171,0),0))</f>
        <v>0</v>
      </c>
      <c r="B171" s="608">
        <f>IF(A171&gt;0,1,0)</f>
        <v>0</v>
      </c>
      <c r="C171" s="577">
        <v>1</v>
      </c>
      <c r="D171" s="577"/>
      <c r="E171" s="607" t="s">
        <v>231</v>
      </c>
      <c r="F171" s="577" t="str">
        <f>"Die Förderung der Eigenstromnutzung ist bei Dachanlagen mit Inbetriebnahme von 01/2009 bis 06/2010  auf 30 kWp beschränkt. Für die dargestellte "&amp;ROUND(G6,2)&amp;" kWp - Anlage wird ein Eigenverbrauchsbonus gewährt."</f>
        <v>Die Förderung der Eigenstromnutzung ist bei Dachanlagen mit Inbetriebnahme von 01/2009 bis 06/2010  auf 30 kWp beschränkt. Für die dargestellte 0 kWp - Anlage wird ein Eigenverbrauchsbonus gewährt.</v>
      </c>
      <c r="G171" s="577"/>
      <c r="H171" s="577"/>
      <c r="I171" s="577"/>
      <c r="J171" s="577"/>
      <c r="K171" s="577"/>
      <c r="L171" s="591"/>
      <c r="M171" s="577"/>
      <c r="N171" s="577"/>
      <c r="O171" s="577"/>
      <c r="P171" s="577"/>
      <c r="Q171" s="577"/>
      <c r="R171" s="577"/>
      <c r="S171" s="577"/>
      <c r="T171" s="577"/>
      <c r="U171" s="577"/>
      <c r="V171" s="577"/>
      <c r="W171" s="577"/>
      <c r="X171" s="577"/>
      <c r="Y171" s="577"/>
      <c r="Z171" s="577"/>
      <c r="AA171" s="577"/>
      <c r="AB171" s="577"/>
      <c r="AC171" s="577"/>
      <c r="AD171" s="577"/>
      <c r="AE171" s="577"/>
      <c r="AF171" s="577"/>
      <c r="AG171" s="577"/>
      <c r="AH171" s="577"/>
      <c r="AI171" s="577"/>
    </row>
    <row r="172" spans="1:35">
      <c r="A172" s="577">
        <f>IF($F$10=2,0,IF(AND(G6&gt;0,G31&gt;0),IF(AND(F12&lt;=18,G6&gt;G14),C172,0),0))</f>
        <v>0</v>
      </c>
      <c r="B172" s="608">
        <f>IF(A172&gt;0,3,0)</f>
        <v>0</v>
      </c>
      <c r="C172" s="577">
        <v>2</v>
      </c>
      <c r="D172" s="577"/>
      <c r="E172" s="607" t="s">
        <v>232</v>
      </c>
      <c r="F172" s="577" t="s">
        <v>230</v>
      </c>
      <c r="G172" s="577"/>
      <c r="H172" s="577"/>
      <c r="I172" s="577"/>
      <c r="J172" s="577"/>
      <c r="K172" s="577"/>
      <c r="L172" s="591"/>
      <c r="M172" s="577"/>
      <c r="N172" s="577"/>
      <c r="O172" s="577"/>
      <c r="P172" s="577"/>
      <c r="Q172" s="577"/>
      <c r="R172" s="577"/>
      <c r="S172" s="577"/>
      <c r="T172" s="577"/>
      <c r="U172" s="577"/>
      <c r="V172" s="577"/>
      <c r="W172" s="577"/>
      <c r="X172" s="577"/>
      <c r="Y172" s="577"/>
      <c r="Z172" s="577"/>
      <c r="AA172" s="577"/>
      <c r="AB172" s="577"/>
      <c r="AC172" s="577"/>
      <c r="AD172" s="577"/>
      <c r="AE172" s="577"/>
      <c r="AF172" s="577"/>
      <c r="AG172" s="577"/>
      <c r="AH172" s="577"/>
      <c r="AI172" s="577"/>
    </row>
    <row r="173" spans="1:35">
      <c r="A173" s="577">
        <f>IF($F$10=2,0,IF(AND(G6&gt;0,G31&gt;0),IF(AND(F12&gt;=19,F12&lt;=39,G6&lt;=G14),C173,0),0))</f>
        <v>0</v>
      </c>
      <c r="B173" s="608">
        <f>IF(A173&gt;0,2,0)</f>
        <v>0</v>
      </c>
      <c r="C173" s="577">
        <v>3</v>
      </c>
      <c r="D173" s="577"/>
      <c r="E173" s="607" t="s">
        <v>233</v>
      </c>
      <c r="F173" s="577" t="str">
        <f>"Die Förderung der Eigenstromnutzung ist bei Dachanlagen mit Inbetriebnahme von 07/2010 und 03/2012  auf 500 kWp beschränkt. Für die dargestellte "&amp;ROUND(G6,2)&amp;" kWp - Anlage wird ein Eigenverbrauchsbonus gewährt."</f>
        <v>Die Förderung der Eigenstromnutzung ist bei Dachanlagen mit Inbetriebnahme von 07/2010 und 03/2012  auf 500 kWp beschränkt. Für die dargestellte 0 kWp - Anlage wird ein Eigenverbrauchsbonus gewährt.</v>
      </c>
      <c r="G173" s="577"/>
      <c r="H173" s="577"/>
      <c r="I173" s="577"/>
      <c r="J173" s="577"/>
      <c r="K173" s="577"/>
      <c r="L173" s="591"/>
      <c r="M173" s="577"/>
      <c r="N173" s="577"/>
      <c r="O173" s="577"/>
      <c r="P173" s="577"/>
      <c r="Q173" s="577"/>
      <c r="R173" s="577"/>
      <c r="S173" s="577"/>
      <c r="T173" s="577"/>
      <c r="U173" s="577"/>
      <c r="V173" s="577"/>
      <c r="W173" s="577"/>
      <c r="X173" s="577"/>
      <c r="Y173" s="577"/>
      <c r="Z173" s="577"/>
      <c r="AA173" s="577"/>
      <c r="AB173" s="577"/>
      <c r="AC173" s="577"/>
      <c r="AD173" s="577"/>
      <c r="AE173" s="577"/>
      <c r="AF173" s="577"/>
      <c r="AG173" s="577"/>
      <c r="AH173" s="577"/>
      <c r="AI173" s="577"/>
    </row>
    <row r="174" spans="1:35">
      <c r="A174" s="577">
        <f>IF($F$10=2,0,IF(AND(G6&gt;0,G31&gt;0),IF(AND(F12&gt;=19,F12&lt;=39,G6&gt;G14),C174,0),0))</f>
        <v>0</v>
      </c>
      <c r="B174" s="608">
        <f>IF(A174&gt;0,3,0)</f>
        <v>0</v>
      </c>
      <c r="C174" s="577">
        <v>4</v>
      </c>
      <c r="D174" s="577"/>
      <c r="E174" s="607" t="s">
        <v>234</v>
      </c>
      <c r="F174" s="577" t="s">
        <v>235</v>
      </c>
      <c r="G174" s="577"/>
      <c r="H174" s="577"/>
      <c r="I174" s="577"/>
      <c r="J174" s="577"/>
      <c r="K174" s="577"/>
      <c r="L174" s="591"/>
      <c r="M174" s="577"/>
      <c r="N174" s="577"/>
      <c r="O174" s="577"/>
      <c r="P174" s="577"/>
      <c r="Q174" s="577"/>
      <c r="R174" s="577"/>
      <c r="S174" s="577"/>
      <c r="T174" s="577"/>
      <c r="U174" s="577"/>
      <c r="V174" s="577"/>
      <c r="W174" s="577"/>
      <c r="X174" s="577"/>
      <c r="Y174" s="577"/>
      <c r="Z174" s="577"/>
      <c r="AA174" s="577"/>
      <c r="AB174" s="577"/>
      <c r="AC174" s="577"/>
      <c r="AD174" s="577"/>
      <c r="AE174" s="577"/>
      <c r="AF174" s="577"/>
      <c r="AG174" s="577"/>
      <c r="AH174" s="577"/>
      <c r="AI174" s="577"/>
    </row>
    <row r="175" spans="1:35">
      <c r="A175" s="577">
        <f>IF($F$10=2,0,IF(AND(G6&gt;0,G31&gt;0),IF(AND(F12&gt;=40),C175,0),0))</f>
        <v>0</v>
      </c>
      <c r="B175" s="608">
        <f>IF(A175&gt;0,3,0)</f>
        <v>0</v>
      </c>
      <c r="C175" s="577">
        <v>5</v>
      </c>
      <c r="D175" s="577"/>
      <c r="E175" s="607" t="s">
        <v>194</v>
      </c>
      <c r="F175" s="577" t="s">
        <v>236</v>
      </c>
      <c r="G175" s="577"/>
      <c r="H175" s="577"/>
      <c r="I175" s="577"/>
      <c r="J175" s="577"/>
      <c r="K175" s="577"/>
      <c r="L175" s="591"/>
      <c r="M175" s="577"/>
      <c r="N175" s="577"/>
      <c r="O175" s="577"/>
      <c r="P175" s="577"/>
      <c r="Q175" s="577"/>
      <c r="R175" s="577"/>
      <c r="S175" s="577"/>
      <c r="T175" s="577"/>
      <c r="U175" s="577"/>
      <c r="V175" s="577"/>
      <c r="W175" s="577"/>
      <c r="X175" s="577"/>
      <c r="Y175" s="577"/>
      <c r="Z175" s="577"/>
      <c r="AA175" s="577"/>
      <c r="AB175" s="577"/>
      <c r="AC175" s="577"/>
      <c r="AD175" s="577"/>
      <c r="AE175" s="577"/>
      <c r="AF175" s="577"/>
      <c r="AG175" s="577"/>
      <c r="AH175" s="577"/>
      <c r="AI175" s="577"/>
    </row>
    <row r="176" spans="1:35">
      <c r="A176" s="577">
        <f>IF($F$10=1,0,IF(G6&gt;0,C176,0))</f>
        <v>0</v>
      </c>
      <c r="B176" s="608">
        <f>IF(A176&gt;0,3,0)</f>
        <v>0</v>
      </c>
      <c r="C176" s="577">
        <v>6</v>
      </c>
      <c r="D176" s="577"/>
      <c r="E176" s="607" t="s">
        <v>195</v>
      </c>
      <c r="F176" s="577" t="s">
        <v>229</v>
      </c>
      <c r="G176" s="577"/>
      <c r="H176" s="577"/>
      <c r="I176" s="577"/>
      <c r="J176" s="577"/>
      <c r="K176" s="577"/>
      <c r="L176" s="591"/>
      <c r="M176" s="577"/>
      <c r="N176" s="577"/>
      <c r="O176" s="577"/>
      <c r="P176" s="577"/>
      <c r="Q176" s="577"/>
      <c r="R176" s="577"/>
      <c r="S176" s="577"/>
      <c r="T176" s="577"/>
      <c r="U176" s="577"/>
      <c r="V176" s="577"/>
      <c r="W176" s="577"/>
      <c r="X176" s="577"/>
      <c r="Y176" s="577"/>
      <c r="Z176" s="577"/>
      <c r="AA176" s="577"/>
      <c r="AB176" s="577"/>
      <c r="AC176" s="577"/>
      <c r="AD176" s="577"/>
      <c r="AE176" s="577"/>
      <c r="AF176" s="577"/>
      <c r="AG176" s="577"/>
      <c r="AH176" s="577"/>
      <c r="AI176" s="577"/>
    </row>
    <row r="177" spans="1:35">
      <c r="A177" s="577">
        <f>IF($F$10=2,0,IF(AND(G6&gt;0,G31=0),C177,0))</f>
        <v>0</v>
      </c>
      <c r="B177" s="608">
        <f>IF(A177&gt;0,3,0)</f>
        <v>0</v>
      </c>
      <c r="C177" s="577">
        <v>7</v>
      </c>
      <c r="D177" s="577"/>
      <c r="E177" s="577" t="s">
        <v>240</v>
      </c>
      <c r="F177" s="577" t="s">
        <v>239</v>
      </c>
      <c r="G177" s="577"/>
      <c r="H177" s="577"/>
      <c r="I177" s="577"/>
      <c r="J177" s="577"/>
      <c r="K177" s="577"/>
      <c r="L177" s="591"/>
      <c r="M177" s="577"/>
      <c r="N177" s="577"/>
      <c r="O177" s="577"/>
      <c r="P177" s="577"/>
      <c r="Q177" s="577"/>
      <c r="R177" s="577"/>
      <c r="S177" s="577"/>
      <c r="T177" s="577"/>
      <c r="U177" s="577"/>
      <c r="V177" s="577"/>
      <c r="W177" s="577"/>
      <c r="X177" s="577"/>
      <c r="Y177" s="577"/>
      <c r="Z177" s="577"/>
      <c r="AA177" s="577"/>
      <c r="AB177" s="577"/>
      <c r="AC177" s="577"/>
      <c r="AD177" s="577"/>
      <c r="AE177" s="577"/>
      <c r="AF177" s="577"/>
      <c r="AG177" s="577"/>
      <c r="AH177" s="577"/>
      <c r="AI177" s="577"/>
    </row>
    <row r="178" spans="1:35">
      <c r="A178" s="577">
        <f>IF(G6=0,C178,0)</f>
        <v>8</v>
      </c>
      <c r="B178" s="608">
        <f>IF(A178&gt;0,3,0)</f>
        <v>3</v>
      </c>
      <c r="C178" s="577">
        <v>8</v>
      </c>
      <c r="D178" s="577"/>
      <c r="E178" s="577" t="s">
        <v>241</v>
      </c>
      <c r="F178" s="607" t="s">
        <v>242</v>
      </c>
      <c r="G178" s="577"/>
      <c r="H178" s="577"/>
      <c r="I178" s="577"/>
      <c r="J178" s="577"/>
      <c r="K178" s="577"/>
      <c r="L178" s="591"/>
      <c r="M178" s="577"/>
      <c r="N178" s="577"/>
      <c r="O178" s="577"/>
      <c r="P178" s="577"/>
      <c r="Q178" s="577"/>
      <c r="R178" s="577"/>
      <c r="S178" s="577"/>
      <c r="T178" s="577"/>
      <c r="U178" s="577"/>
      <c r="V178" s="577"/>
      <c r="W178" s="577"/>
      <c r="X178" s="577"/>
      <c r="Y178" s="577"/>
      <c r="Z178" s="577"/>
      <c r="AA178" s="577"/>
      <c r="AB178" s="577"/>
      <c r="AC178" s="577"/>
      <c r="AD178" s="577"/>
      <c r="AE178" s="577"/>
      <c r="AF178" s="577"/>
      <c r="AG178" s="577"/>
      <c r="AH178" s="577"/>
      <c r="AI178" s="577"/>
    </row>
    <row r="179" spans="1:35">
      <c r="A179" s="577"/>
      <c r="B179" s="577"/>
      <c r="C179" s="577"/>
      <c r="D179" s="577"/>
      <c r="E179" s="577"/>
      <c r="F179" s="577"/>
      <c r="G179" s="577"/>
      <c r="H179" s="577"/>
      <c r="I179" s="577"/>
      <c r="J179" s="577"/>
      <c r="K179" s="577"/>
      <c r="L179" s="591"/>
      <c r="M179" s="577"/>
      <c r="N179" s="577"/>
      <c r="O179" s="577"/>
      <c r="P179" s="577"/>
      <c r="Q179" s="577"/>
      <c r="R179" s="577"/>
      <c r="S179" s="577"/>
      <c r="T179" s="577"/>
      <c r="U179" s="577"/>
      <c r="V179" s="577"/>
      <c r="W179" s="577"/>
      <c r="X179" s="577"/>
      <c r="Y179" s="577"/>
      <c r="Z179" s="577"/>
      <c r="AA179" s="577"/>
      <c r="AB179" s="577"/>
      <c r="AC179" s="577"/>
      <c r="AD179" s="577"/>
      <c r="AE179" s="577"/>
      <c r="AF179" s="577"/>
      <c r="AG179" s="577"/>
      <c r="AH179" s="577"/>
      <c r="AI179" s="577"/>
    </row>
    <row r="180" spans="1:35">
      <c r="A180" s="577"/>
      <c r="B180" s="577"/>
      <c r="C180" s="577"/>
      <c r="D180" s="577"/>
      <c r="E180" s="577"/>
      <c r="F180" s="577"/>
      <c r="G180" s="577"/>
      <c r="H180" s="577"/>
      <c r="I180" s="577"/>
      <c r="J180" s="577"/>
      <c r="K180" s="577"/>
      <c r="L180" s="591"/>
      <c r="M180" s="577"/>
      <c r="N180" s="577"/>
      <c r="O180" s="577"/>
      <c r="P180" s="577"/>
      <c r="Q180" s="577"/>
      <c r="R180" s="577"/>
      <c r="S180" s="577"/>
      <c r="T180" s="577"/>
      <c r="U180" s="577"/>
      <c r="V180" s="577"/>
      <c r="W180" s="577"/>
      <c r="X180" s="577"/>
      <c r="Y180" s="577"/>
      <c r="Z180" s="577"/>
      <c r="AA180" s="577"/>
      <c r="AB180" s="577"/>
      <c r="AC180" s="577"/>
      <c r="AD180" s="577"/>
      <c r="AE180" s="577"/>
      <c r="AF180" s="577"/>
      <c r="AG180" s="577"/>
      <c r="AH180" s="577"/>
      <c r="AI180" s="577"/>
    </row>
    <row r="181" spans="1:35">
      <c r="A181" s="577"/>
      <c r="B181" s="577"/>
      <c r="C181" s="577"/>
      <c r="D181" s="577"/>
      <c r="E181" s="577"/>
      <c r="F181" s="577"/>
      <c r="G181" s="577"/>
      <c r="H181" s="577"/>
      <c r="I181" s="577"/>
      <c r="J181" s="577"/>
      <c r="K181" s="577"/>
      <c r="L181" s="591"/>
      <c r="M181" s="577"/>
      <c r="N181" s="577"/>
      <c r="O181" s="577"/>
      <c r="P181" s="577"/>
      <c r="Q181" s="577"/>
      <c r="R181" s="577"/>
      <c r="S181" s="577"/>
      <c r="T181" s="577"/>
      <c r="U181" s="577"/>
      <c r="V181" s="577"/>
      <c r="W181" s="577"/>
      <c r="X181" s="577"/>
      <c r="Y181" s="577"/>
      <c r="Z181" s="577"/>
      <c r="AA181" s="577"/>
      <c r="AB181" s="577"/>
      <c r="AC181" s="577"/>
      <c r="AD181" s="577"/>
      <c r="AE181" s="577"/>
      <c r="AF181" s="577"/>
      <c r="AG181" s="577"/>
      <c r="AH181" s="577"/>
      <c r="AI181" s="577"/>
    </row>
    <row r="182" spans="1:35">
      <c r="A182" s="577"/>
      <c r="B182" s="577"/>
      <c r="C182" s="577"/>
      <c r="D182" s="577"/>
      <c r="E182" s="577"/>
      <c r="F182" s="577"/>
      <c r="G182" s="577"/>
      <c r="H182" s="577"/>
      <c r="I182" s="577"/>
      <c r="J182" s="577"/>
      <c r="K182" s="577"/>
      <c r="L182" s="591"/>
      <c r="M182" s="577"/>
      <c r="N182" s="577"/>
      <c r="O182" s="577"/>
      <c r="P182" s="577"/>
      <c r="Q182" s="577"/>
      <c r="R182" s="577"/>
      <c r="S182" s="577"/>
      <c r="T182" s="577"/>
      <c r="U182" s="577"/>
      <c r="V182" s="577"/>
      <c r="W182" s="577"/>
      <c r="X182" s="577"/>
      <c r="Y182" s="577"/>
      <c r="Z182" s="577"/>
      <c r="AA182" s="577"/>
      <c r="AB182" s="577"/>
      <c r="AC182" s="577"/>
      <c r="AD182" s="577"/>
      <c r="AE182" s="577"/>
      <c r="AF182" s="577"/>
      <c r="AG182" s="577"/>
      <c r="AH182" s="577"/>
      <c r="AI182" s="577"/>
    </row>
    <row r="183" spans="1:35">
      <c r="A183" s="577"/>
      <c r="B183" s="577"/>
      <c r="C183" s="577"/>
      <c r="D183" s="577"/>
      <c r="E183" s="577"/>
      <c r="F183" s="577"/>
      <c r="G183" s="577"/>
      <c r="H183" s="577"/>
      <c r="I183" s="577"/>
      <c r="J183" s="577"/>
      <c r="K183" s="577"/>
      <c r="L183" s="591"/>
      <c r="M183" s="577"/>
      <c r="N183" s="577"/>
      <c r="O183" s="577"/>
      <c r="P183" s="577"/>
      <c r="Q183" s="577"/>
      <c r="R183" s="577"/>
      <c r="S183" s="577"/>
      <c r="T183" s="577"/>
      <c r="U183" s="577"/>
      <c r="V183" s="577"/>
      <c r="W183" s="577"/>
      <c r="X183" s="577"/>
      <c r="Y183" s="577"/>
      <c r="Z183" s="577"/>
      <c r="AA183" s="577"/>
      <c r="AB183" s="577"/>
      <c r="AC183" s="577"/>
      <c r="AD183" s="577"/>
      <c r="AE183" s="577"/>
      <c r="AF183" s="577"/>
      <c r="AG183" s="577"/>
      <c r="AH183" s="577"/>
      <c r="AI183" s="577"/>
    </row>
    <row r="184" spans="1:35">
      <c r="A184" s="577"/>
      <c r="B184" s="577"/>
      <c r="C184" s="577"/>
      <c r="D184" s="577"/>
      <c r="E184" s="577"/>
      <c r="F184" s="577"/>
      <c r="G184" s="577"/>
      <c r="H184" s="577"/>
      <c r="I184" s="577"/>
      <c r="J184" s="577"/>
      <c r="K184" s="577"/>
      <c r="L184" s="591"/>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row>
    <row r="185" spans="1:35">
      <c r="A185" s="577"/>
      <c r="B185" s="577"/>
      <c r="C185" s="577"/>
      <c r="D185" s="577"/>
      <c r="E185" s="577"/>
      <c r="F185" s="577"/>
      <c r="G185" s="577"/>
      <c r="H185" s="577"/>
      <c r="I185" s="577"/>
      <c r="J185" s="577"/>
      <c r="K185" s="577"/>
      <c r="L185" s="591"/>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row>
    <row r="186" spans="1:35">
      <c r="A186" s="577"/>
      <c r="B186" s="577"/>
      <c r="C186" s="577"/>
      <c r="D186" s="577"/>
      <c r="E186" s="577"/>
      <c r="F186" s="577"/>
      <c r="G186" s="577"/>
      <c r="H186" s="577"/>
      <c r="I186" s="577"/>
      <c r="J186" s="577"/>
      <c r="K186" s="577"/>
      <c r="L186" s="591"/>
      <c r="M186" s="577"/>
      <c r="N186" s="577"/>
      <c r="O186" s="577"/>
      <c r="P186" s="577"/>
      <c r="Q186" s="577"/>
      <c r="R186" s="577"/>
      <c r="S186" s="577"/>
      <c r="T186" s="577"/>
      <c r="U186" s="577"/>
      <c r="V186" s="577"/>
      <c r="W186" s="577"/>
      <c r="X186" s="577"/>
      <c r="Y186" s="577"/>
      <c r="Z186" s="577"/>
      <c r="AA186" s="577"/>
      <c r="AB186" s="577"/>
      <c r="AC186" s="577"/>
      <c r="AD186" s="577"/>
      <c r="AE186" s="577"/>
      <c r="AF186" s="577"/>
      <c r="AG186" s="577"/>
      <c r="AH186" s="577"/>
      <c r="AI186" s="577"/>
    </row>
    <row r="187" spans="1:35">
      <c r="A187" s="577"/>
      <c r="B187" s="577"/>
      <c r="C187" s="577"/>
      <c r="D187" s="577"/>
      <c r="E187" s="577"/>
      <c r="F187" s="577"/>
      <c r="G187" s="577"/>
      <c r="H187" s="577"/>
      <c r="I187" s="577"/>
      <c r="J187" s="577"/>
      <c r="K187" s="577"/>
      <c r="L187" s="591"/>
      <c r="M187" s="577"/>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row>
    <row r="188" spans="1:35">
      <c r="A188" s="577"/>
      <c r="B188" s="577"/>
      <c r="C188" s="577"/>
      <c r="D188" s="577"/>
      <c r="E188" s="577"/>
      <c r="F188" s="577"/>
      <c r="G188" s="577"/>
      <c r="H188" s="577"/>
      <c r="I188" s="577"/>
      <c r="J188" s="577"/>
      <c r="K188" s="577"/>
      <c r="L188" s="591"/>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row>
    <row r="189" spans="1:35">
      <c r="A189" s="577"/>
      <c r="B189" s="577"/>
      <c r="C189" s="577"/>
      <c r="D189" s="577"/>
      <c r="E189" s="577"/>
      <c r="F189" s="577"/>
      <c r="G189" s="577"/>
      <c r="H189" s="577"/>
      <c r="I189" s="577"/>
      <c r="J189" s="577"/>
      <c r="K189" s="577"/>
      <c r="L189" s="591"/>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row>
    <row r="190" spans="1:35">
      <c r="A190" s="577"/>
      <c r="B190" s="577"/>
      <c r="C190" s="577"/>
      <c r="D190" s="577"/>
      <c r="E190" s="577"/>
      <c r="F190" s="577"/>
      <c r="G190" s="577"/>
      <c r="H190" s="577"/>
      <c r="I190" s="577"/>
      <c r="J190" s="577"/>
      <c r="K190" s="577"/>
      <c r="L190" s="591"/>
      <c r="M190" s="577"/>
      <c r="N190" s="577"/>
      <c r="O190" s="577"/>
      <c r="P190" s="577"/>
      <c r="Q190" s="577"/>
      <c r="R190" s="577"/>
      <c r="S190" s="577"/>
      <c r="T190" s="577"/>
      <c r="U190" s="577"/>
      <c r="V190" s="577"/>
      <c r="W190" s="577"/>
      <c r="X190" s="577"/>
      <c r="Y190" s="577"/>
    </row>
    <row r="191" spans="1:35">
      <c r="A191" s="577"/>
      <c r="B191" s="577"/>
      <c r="C191" s="577"/>
      <c r="D191" s="577"/>
      <c r="E191" s="577"/>
      <c r="F191" s="577"/>
      <c r="G191" s="577"/>
      <c r="H191" s="577"/>
      <c r="I191" s="577"/>
      <c r="J191" s="577"/>
      <c r="K191" s="577"/>
      <c r="L191" s="591"/>
      <c r="M191" s="577"/>
      <c r="N191" s="577"/>
      <c r="O191" s="577"/>
      <c r="P191" s="577"/>
      <c r="Q191" s="577"/>
      <c r="R191" s="577"/>
      <c r="S191" s="577"/>
      <c r="T191" s="577"/>
      <c r="U191" s="577"/>
      <c r="V191" s="577"/>
      <c r="W191" s="577"/>
      <c r="X191" s="577"/>
      <c r="Y191" s="577"/>
    </row>
    <row r="192" spans="1:35">
      <c r="A192" s="577"/>
      <c r="B192" s="577"/>
      <c r="C192" s="577"/>
      <c r="D192" s="577"/>
      <c r="E192" s="577"/>
      <c r="F192" s="577"/>
      <c r="G192" s="577"/>
      <c r="H192" s="577"/>
      <c r="I192" s="577"/>
      <c r="J192" s="577"/>
      <c r="K192" s="577"/>
      <c r="L192" s="591"/>
      <c r="M192" s="577"/>
      <c r="N192" s="577"/>
      <c r="O192" s="577"/>
      <c r="P192" s="577"/>
      <c r="Q192" s="577"/>
      <c r="R192" s="577"/>
      <c r="S192" s="577"/>
      <c r="T192" s="577"/>
      <c r="U192" s="577"/>
      <c r="V192" s="577"/>
      <c r="W192" s="577"/>
      <c r="X192" s="577"/>
      <c r="Y192" s="577"/>
    </row>
    <row r="193" spans="1:25">
      <c r="A193" s="577"/>
      <c r="B193" s="577"/>
      <c r="C193" s="577"/>
      <c r="D193" s="577"/>
      <c r="E193" s="577"/>
      <c r="F193" s="577"/>
      <c r="G193" s="577"/>
      <c r="H193" s="577"/>
      <c r="I193" s="577"/>
      <c r="J193" s="577"/>
      <c r="K193" s="577"/>
      <c r="L193" s="591"/>
      <c r="M193" s="577"/>
      <c r="N193" s="577"/>
      <c r="O193" s="577"/>
      <c r="P193" s="577"/>
      <c r="Q193" s="577"/>
      <c r="R193" s="577"/>
      <c r="S193" s="577"/>
      <c r="T193" s="577"/>
      <c r="U193" s="577"/>
      <c r="V193" s="577"/>
      <c r="W193" s="577"/>
      <c r="X193" s="577"/>
      <c r="Y193" s="577"/>
    </row>
    <row r="194" spans="1:25">
      <c r="A194" s="577"/>
      <c r="B194" s="577"/>
      <c r="C194" s="577"/>
      <c r="D194" s="577"/>
      <c r="E194" s="577"/>
      <c r="F194" s="577"/>
      <c r="G194" s="577"/>
      <c r="H194" s="577"/>
      <c r="I194" s="577"/>
      <c r="J194" s="577"/>
      <c r="K194" s="577"/>
      <c r="L194" s="591"/>
      <c r="M194" s="577"/>
      <c r="N194" s="577"/>
      <c r="O194" s="577"/>
      <c r="P194" s="577"/>
      <c r="Q194" s="577"/>
      <c r="R194" s="577"/>
      <c r="S194" s="577"/>
      <c r="T194" s="577"/>
      <c r="U194" s="577"/>
      <c r="V194" s="577"/>
      <c r="W194" s="577"/>
      <c r="X194" s="577"/>
      <c r="Y194" s="577"/>
    </row>
    <row r="195" spans="1:25">
      <c r="A195" s="577"/>
      <c r="B195" s="577"/>
      <c r="C195" s="577"/>
      <c r="D195" s="577"/>
      <c r="E195" s="577"/>
      <c r="F195" s="577"/>
      <c r="G195" s="577"/>
      <c r="H195" s="577"/>
      <c r="I195" s="577"/>
      <c r="J195" s="577"/>
      <c r="K195" s="577"/>
      <c r="L195" s="591"/>
      <c r="M195" s="577"/>
      <c r="N195" s="577"/>
      <c r="O195" s="577"/>
      <c r="P195" s="577"/>
      <c r="Q195" s="577"/>
      <c r="R195" s="577"/>
      <c r="S195" s="577"/>
      <c r="T195" s="577"/>
      <c r="U195" s="577"/>
      <c r="V195" s="577"/>
      <c r="W195" s="577"/>
      <c r="X195" s="577"/>
      <c r="Y195" s="577"/>
    </row>
    <row r="196" spans="1:25">
      <c r="A196" s="577"/>
      <c r="B196" s="577"/>
      <c r="C196" s="577"/>
      <c r="D196" s="577"/>
      <c r="E196" s="577"/>
      <c r="F196" s="577"/>
      <c r="G196" s="577"/>
      <c r="H196" s="577"/>
      <c r="I196" s="577"/>
      <c r="J196" s="577"/>
      <c r="K196" s="577"/>
      <c r="L196" s="591"/>
      <c r="M196" s="577"/>
      <c r="N196" s="577"/>
      <c r="O196" s="577"/>
      <c r="P196" s="577"/>
      <c r="Q196" s="577"/>
      <c r="R196" s="577"/>
      <c r="S196" s="577"/>
      <c r="T196" s="577"/>
      <c r="U196" s="577"/>
      <c r="V196" s="577"/>
      <c r="W196" s="577"/>
      <c r="X196" s="577"/>
      <c r="Y196" s="577"/>
    </row>
    <row r="197" spans="1:25">
      <c r="A197" s="577"/>
      <c r="B197" s="577"/>
      <c r="C197" s="577"/>
      <c r="D197" s="577"/>
      <c r="E197" s="577"/>
      <c r="F197" s="577"/>
      <c r="G197" s="577"/>
      <c r="H197" s="577"/>
      <c r="I197" s="577"/>
      <c r="J197" s="577"/>
      <c r="K197" s="577"/>
      <c r="L197" s="591"/>
      <c r="M197" s="577"/>
      <c r="N197" s="577"/>
      <c r="O197" s="577"/>
      <c r="P197" s="577"/>
      <c r="Q197" s="577"/>
      <c r="R197" s="577"/>
      <c r="S197" s="577"/>
      <c r="T197" s="577"/>
      <c r="U197" s="577"/>
      <c r="V197" s="577"/>
      <c r="W197" s="577"/>
      <c r="X197" s="577"/>
      <c r="Y197" s="577"/>
    </row>
    <row r="198" spans="1:25">
      <c r="A198" s="577"/>
      <c r="B198" s="577"/>
      <c r="C198" s="577"/>
      <c r="D198" s="577"/>
      <c r="E198" s="577"/>
      <c r="F198" s="577"/>
      <c r="G198" s="577"/>
      <c r="H198" s="577"/>
      <c r="I198" s="577"/>
      <c r="J198" s="577"/>
      <c r="K198" s="577"/>
      <c r="L198" s="591"/>
      <c r="M198" s="577"/>
      <c r="N198" s="577"/>
      <c r="O198" s="577"/>
      <c r="P198" s="577"/>
      <c r="Q198" s="577"/>
      <c r="R198" s="577"/>
      <c r="S198" s="577"/>
      <c r="T198" s="577"/>
      <c r="U198" s="577"/>
      <c r="V198" s="577"/>
      <c r="W198" s="577"/>
      <c r="X198" s="577"/>
      <c r="Y198" s="577"/>
    </row>
    <row r="199" spans="1:25">
      <c r="A199" s="577"/>
      <c r="B199" s="577"/>
      <c r="C199" s="577"/>
      <c r="D199" s="577"/>
      <c r="E199" s="577"/>
      <c r="F199" s="577"/>
      <c r="G199" s="577"/>
      <c r="H199" s="577"/>
      <c r="I199" s="577"/>
      <c r="J199" s="577"/>
      <c r="K199" s="577"/>
      <c r="L199" s="591"/>
      <c r="M199" s="577"/>
      <c r="N199" s="577"/>
      <c r="O199" s="577"/>
      <c r="P199" s="577"/>
      <c r="Q199" s="577"/>
      <c r="R199" s="577"/>
      <c r="S199" s="577"/>
      <c r="T199" s="577"/>
      <c r="U199" s="577"/>
      <c r="V199" s="577"/>
      <c r="W199" s="577"/>
      <c r="X199" s="577"/>
      <c r="Y199" s="577"/>
    </row>
    <row r="200" spans="1:25">
      <c r="A200" s="577"/>
      <c r="B200" s="577"/>
      <c r="C200" s="577"/>
      <c r="D200" s="577"/>
      <c r="E200" s="577"/>
      <c r="F200" s="577"/>
      <c r="G200" s="577"/>
      <c r="H200" s="577"/>
      <c r="I200" s="577"/>
      <c r="J200" s="577"/>
      <c r="K200" s="577"/>
      <c r="L200" s="591"/>
      <c r="M200" s="577"/>
      <c r="N200" s="577"/>
      <c r="O200" s="577"/>
      <c r="P200" s="577"/>
      <c r="Q200" s="577"/>
      <c r="R200" s="577"/>
      <c r="S200" s="577"/>
      <c r="T200" s="577"/>
      <c r="U200" s="577"/>
      <c r="V200" s="577"/>
      <c r="W200" s="577"/>
      <c r="X200" s="577"/>
      <c r="Y200" s="577"/>
    </row>
    <row r="201" spans="1:25">
      <c r="A201" s="577"/>
      <c r="B201" s="577"/>
      <c r="C201" s="577"/>
      <c r="D201" s="577"/>
      <c r="E201" s="577"/>
      <c r="F201" s="577"/>
      <c r="G201" s="577"/>
      <c r="H201" s="577"/>
      <c r="I201" s="577"/>
      <c r="J201" s="577"/>
      <c r="K201" s="577"/>
      <c r="L201" s="591"/>
      <c r="M201" s="577"/>
      <c r="N201" s="577"/>
      <c r="O201" s="577"/>
      <c r="P201" s="577"/>
      <c r="Q201" s="577"/>
      <c r="R201" s="577"/>
      <c r="S201" s="577"/>
      <c r="T201" s="577"/>
      <c r="U201" s="577"/>
      <c r="V201" s="577"/>
      <c r="W201" s="577"/>
      <c r="X201" s="577"/>
      <c r="Y201" s="577"/>
    </row>
    <row r="202" spans="1:25">
      <c r="A202" s="577"/>
      <c r="B202" s="577"/>
      <c r="C202" s="577"/>
      <c r="D202" s="577"/>
      <c r="E202" s="577"/>
      <c r="F202" s="577"/>
      <c r="G202" s="577"/>
      <c r="H202" s="577"/>
      <c r="I202" s="577"/>
      <c r="J202" s="577"/>
      <c r="K202" s="577"/>
      <c r="L202" s="591"/>
      <c r="M202" s="577"/>
      <c r="N202" s="577"/>
      <c r="O202" s="577"/>
      <c r="P202" s="577"/>
      <c r="Q202" s="577"/>
      <c r="R202" s="577"/>
      <c r="S202" s="577"/>
      <c r="T202" s="577"/>
      <c r="U202" s="577"/>
      <c r="V202" s="577"/>
      <c r="W202" s="577"/>
      <c r="X202" s="577"/>
      <c r="Y202" s="577"/>
    </row>
    <row r="203" spans="1:25">
      <c r="A203" s="577"/>
      <c r="B203" s="577"/>
      <c r="C203" s="577"/>
      <c r="D203" s="577"/>
      <c r="E203" s="577"/>
      <c r="F203" s="577"/>
      <c r="G203" s="577"/>
      <c r="H203" s="577"/>
      <c r="I203" s="577"/>
      <c r="J203" s="577"/>
      <c r="K203" s="577"/>
      <c r="L203" s="591"/>
      <c r="M203" s="577"/>
      <c r="N203" s="577"/>
      <c r="O203" s="577"/>
      <c r="P203" s="577"/>
      <c r="Q203" s="577"/>
      <c r="R203" s="577"/>
      <c r="S203" s="577"/>
      <c r="T203" s="577"/>
      <c r="U203" s="577"/>
      <c r="V203" s="577"/>
      <c r="W203" s="577"/>
      <c r="X203" s="577"/>
      <c r="Y203" s="577"/>
    </row>
    <row r="204" spans="1:25">
      <c r="A204" s="577"/>
      <c r="B204" s="577"/>
      <c r="C204" s="577"/>
      <c r="D204" s="577"/>
      <c r="E204" s="577"/>
      <c r="F204" s="577"/>
      <c r="G204" s="577"/>
      <c r="H204" s="577"/>
      <c r="I204" s="577"/>
      <c r="J204" s="577"/>
      <c r="K204" s="577"/>
      <c r="L204" s="591"/>
      <c r="M204" s="577"/>
      <c r="N204" s="577"/>
      <c r="O204" s="577"/>
      <c r="P204" s="577"/>
      <c r="Q204" s="577"/>
      <c r="R204" s="577"/>
      <c r="S204" s="577"/>
      <c r="T204" s="577"/>
      <c r="U204" s="577"/>
      <c r="V204" s="577"/>
      <c r="W204" s="577"/>
      <c r="X204" s="577"/>
      <c r="Y204" s="577"/>
    </row>
    <row r="205" spans="1:25">
      <c r="A205" s="577"/>
      <c r="B205" s="577"/>
      <c r="C205" s="577"/>
      <c r="D205" s="577"/>
      <c r="E205" s="577"/>
      <c r="F205" s="577"/>
      <c r="G205" s="577"/>
      <c r="H205" s="577"/>
      <c r="I205" s="577"/>
      <c r="J205" s="577"/>
      <c r="K205" s="577"/>
      <c r="L205" s="591"/>
      <c r="M205" s="577"/>
      <c r="N205" s="577"/>
      <c r="O205" s="577"/>
      <c r="P205" s="577"/>
      <c r="Q205" s="577"/>
      <c r="R205" s="577"/>
      <c r="S205" s="577"/>
      <c r="T205" s="577"/>
      <c r="U205" s="577"/>
      <c r="V205" s="577"/>
      <c r="W205" s="577"/>
      <c r="X205" s="577"/>
      <c r="Y205" s="577"/>
    </row>
    <row r="206" spans="1:25">
      <c r="A206" s="577"/>
      <c r="B206" s="577"/>
      <c r="C206" s="577"/>
      <c r="D206" s="577"/>
      <c r="E206" s="577"/>
      <c r="F206" s="577"/>
      <c r="G206" s="577"/>
      <c r="H206" s="577"/>
      <c r="I206" s="577"/>
      <c r="J206" s="577"/>
      <c r="K206" s="577"/>
      <c r="L206" s="591"/>
      <c r="M206" s="577"/>
      <c r="N206" s="577"/>
      <c r="O206" s="577"/>
      <c r="P206" s="577"/>
      <c r="Q206" s="577"/>
      <c r="R206" s="577"/>
      <c r="S206" s="577"/>
      <c r="T206" s="577"/>
      <c r="U206" s="577"/>
      <c r="V206" s="577"/>
      <c r="W206" s="577"/>
      <c r="X206" s="577"/>
      <c r="Y206" s="577"/>
    </row>
    <row r="207" spans="1:25">
      <c r="A207" s="577"/>
      <c r="B207" s="577"/>
      <c r="C207" s="577"/>
      <c r="D207" s="577"/>
      <c r="E207" s="577"/>
      <c r="F207" s="577"/>
      <c r="G207" s="577"/>
      <c r="H207" s="577"/>
      <c r="I207" s="577"/>
      <c r="J207" s="577"/>
      <c r="K207" s="577"/>
      <c r="L207" s="591"/>
      <c r="M207" s="577"/>
      <c r="N207" s="577"/>
      <c r="O207" s="577"/>
      <c r="P207" s="577"/>
      <c r="Q207" s="577"/>
      <c r="R207" s="577"/>
      <c r="S207" s="577"/>
      <c r="T207" s="577"/>
      <c r="U207" s="577"/>
      <c r="V207" s="577"/>
      <c r="W207" s="577"/>
      <c r="X207" s="577"/>
      <c r="Y207" s="577"/>
    </row>
    <row r="208" spans="1:25">
      <c r="A208" s="577"/>
      <c r="B208" s="577"/>
      <c r="C208" s="577"/>
      <c r="D208" s="577"/>
      <c r="E208" s="577"/>
      <c r="F208" s="577"/>
      <c r="G208" s="577"/>
      <c r="H208" s="577"/>
      <c r="I208" s="577"/>
      <c r="J208" s="577"/>
      <c r="K208" s="577"/>
      <c r="L208" s="591"/>
      <c r="M208" s="577"/>
      <c r="N208" s="577"/>
      <c r="O208" s="577"/>
      <c r="P208" s="577"/>
      <c r="Q208" s="577"/>
      <c r="R208" s="577"/>
      <c r="S208" s="577"/>
      <c r="T208" s="577"/>
      <c r="U208" s="577"/>
      <c r="V208" s="577"/>
      <c r="W208" s="577"/>
      <c r="X208" s="577"/>
      <c r="Y208" s="577"/>
    </row>
    <row r="209" spans="1:25">
      <c r="A209" s="577"/>
      <c r="B209" s="577"/>
      <c r="C209" s="577"/>
      <c r="D209" s="577"/>
      <c r="E209" s="577"/>
      <c r="F209" s="577"/>
      <c r="G209" s="577"/>
      <c r="H209" s="577"/>
      <c r="I209" s="577"/>
      <c r="J209" s="577"/>
      <c r="K209" s="577"/>
      <c r="L209" s="591"/>
      <c r="M209" s="577"/>
      <c r="N209" s="577"/>
      <c r="O209" s="577"/>
      <c r="P209" s="577"/>
      <c r="Q209" s="577"/>
      <c r="R209" s="577"/>
      <c r="S209" s="577"/>
      <c r="T209" s="577"/>
      <c r="U209" s="577"/>
      <c r="V209" s="577"/>
      <c r="W209" s="577"/>
      <c r="X209" s="577"/>
      <c r="Y209" s="577"/>
    </row>
    <row r="210" spans="1:25">
      <c r="A210" s="577"/>
      <c r="B210" s="577"/>
      <c r="C210" s="577"/>
      <c r="D210" s="577"/>
      <c r="E210" s="577"/>
      <c r="F210" s="577"/>
      <c r="G210" s="577"/>
      <c r="H210" s="577"/>
      <c r="I210" s="577"/>
      <c r="J210" s="577"/>
      <c r="K210" s="577"/>
      <c r="L210" s="591"/>
      <c r="M210" s="577"/>
      <c r="N210" s="577"/>
      <c r="O210" s="577"/>
      <c r="P210" s="577"/>
      <c r="Q210" s="577"/>
      <c r="R210" s="577"/>
      <c r="S210" s="577"/>
      <c r="T210" s="577"/>
      <c r="U210" s="577"/>
      <c r="V210" s="577"/>
      <c r="W210" s="577"/>
      <c r="X210" s="577"/>
      <c r="Y210" s="577"/>
    </row>
    <row r="211" spans="1:25">
      <c r="A211" s="577"/>
      <c r="B211" s="577"/>
      <c r="C211" s="577"/>
      <c r="D211" s="577"/>
      <c r="E211" s="577"/>
      <c r="F211" s="577"/>
      <c r="G211" s="577"/>
      <c r="H211" s="577"/>
      <c r="I211" s="577"/>
      <c r="J211" s="577"/>
      <c r="K211" s="577"/>
      <c r="L211" s="591"/>
      <c r="M211" s="577"/>
      <c r="N211" s="577"/>
      <c r="O211" s="577"/>
      <c r="P211" s="577"/>
      <c r="Q211" s="577"/>
      <c r="R211" s="577"/>
      <c r="S211" s="577"/>
      <c r="T211" s="577"/>
      <c r="U211" s="577"/>
      <c r="V211" s="577"/>
      <c r="W211" s="577"/>
      <c r="X211" s="577"/>
      <c r="Y211" s="577"/>
    </row>
    <row r="212" spans="1:25">
      <c r="A212" s="577"/>
      <c r="B212" s="577"/>
      <c r="C212" s="577"/>
      <c r="D212" s="577"/>
      <c r="E212" s="577"/>
      <c r="F212" s="577"/>
      <c r="G212" s="577"/>
      <c r="H212" s="577"/>
      <c r="I212" s="577"/>
      <c r="J212" s="577"/>
      <c r="K212" s="577"/>
      <c r="L212" s="591"/>
      <c r="M212" s="577"/>
      <c r="N212" s="577"/>
      <c r="O212" s="577"/>
      <c r="P212" s="577"/>
      <c r="Q212" s="577"/>
      <c r="R212" s="577"/>
      <c r="S212" s="577"/>
      <c r="T212" s="577"/>
      <c r="U212" s="577"/>
      <c r="V212" s="577"/>
      <c r="W212" s="577"/>
      <c r="X212" s="577"/>
      <c r="Y212" s="577"/>
    </row>
    <row r="213" spans="1:25">
      <c r="A213" s="577"/>
      <c r="B213" s="577"/>
      <c r="C213" s="577"/>
      <c r="D213" s="577"/>
      <c r="E213" s="577"/>
      <c r="F213" s="577"/>
      <c r="G213" s="577"/>
      <c r="H213" s="577"/>
      <c r="I213" s="577"/>
      <c r="J213" s="577"/>
      <c r="K213" s="577"/>
      <c r="L213" s="591"/>
      <c r="M213" s="577"/>
      <c r="N213" s="577"/>
      <c r="O213" s="577"/>
      <c r="P213" s="577"/>
      <c r="Q213" s="577"/>
      <c r="R213" s="577"/>
      <c r="S213" s="577"/>
      <c r="T213" s="577"/>
      <c r="U213" s="577"/>
      <c r="V213" s="577"/>
      <c r="W213" s="577"/>
      <c r="X213" s="577"/>
      <c r="Y213" s="577"/>
    </row>
    <row r="214" spans="1:25">
      <c r="A214" s="577"/>
      <c r="B214" s="577"/>
      <c r="C214" s="577"/>
      <c r="D214" s="577"/>
      <c r="E214" s="577"/>
      <c r="F214" s="577"/>
      <c r="G214" s="577"/>
      <c r="H214" s="577"/>
      <c r="I214" s="577"/>
      <c r="J214" s="577"/>
      <c r="K214" s="577"/>
      <c r="L214" s="591"/>
      <c r="M214" s="577"/>
      <c r="N214" s="577"/>
      <c r="O214" s="577"/>
      <c r="P214" s="577"/>
      <c r="Q214" s="577"/>
      <c r="R214" s="577"/>
      <c r="S214" s="577"/>
      <c r="T214" s="577"/>
      <c r="U214" s="577"/>
      <c r="V214" s="577"/>
      <c r="W214" s="577"/>
      <c r="X214" s="577"/>
      <c r="Y214" s="577"/>
    </row>
    <row r="215" spans="1:25">
      <c r="A215" s="577"/>
      <c r="B215" s="577"/>
      <c r="C215" s="577"/>
      <c r="D215" s="577"/>
      <c r="E215" s="577"/>
      <c r="F215" s="577"/>
      <c r="G215" s="577"/>
      <c r="H215" s="577"/>
      <c r="I215" s="577"/>
      <c r="J215" s="577"/>
      <c r="K215" s="577"/>
      <c r="L215" s="591"/>
      <c r="M215" s="577"/>
      <c r="N215" s="577"/>
      <c r="O215" s="577"/>
      <c r="P215" s="577"/>
      <c r="Q215" s="577"/>
      <c r="R215" s="577"/>
      <c r="S215" s="577"/>
      <c r="T215" s="577"/>
      <c r="U215" s="577"/>
      <c r="V215" s="577"/>
      <c r="W215" s="577"/>
      <c r="X215" s="577"/>
      <c r="Y215" s="577"/>
    </row>
    <row r="216" spans="1:25">
      <c r="A216" s="577"/>
      <c r="B216" s="577"/>
      <c r="C216" s="577"/>
      <c r="D216" s="577"/>
      <c r="E216" s="577"/>
      <c r="F216" s="577"/>
      <c r="G216" s="577"/>
      <c r="H216" s="577"/>
      <c r="I216" s="577"/>
      <c r="J216" s="577"/>
      <c r="K216" s="577"/>
      <c r="L216" s="591"/>
      <c r="M216" s="577"/>
      <c r="N216" s="577"/>
      <c r="O216" s="577"/>
      <c r="P216" s="577"/>
      <c r="Q216" s="577"/>
      <c r="R216" s="577"/>
      <c r="S216" s="577"/>
      <c r="T216" s="577"/>
      <c r="U216" s="577"/>
      <c r="V216" s="577"/>
      <c r="W216" s="577"/>
      <c r="X216" s="577"/>
      <c r="Y216" s="577"/>
    </row>
    <row r="217" spans="1:25">
      <c r="A217" s="577"/>
      <c r="B217" s="577"/>
      <c r="C217" s="577"/>
      <c r="D217" s="577"/>
      <c r="E217" s="577"/>
      <c r="F217" s="577"/>
      <c r="G217" s="577"/>
      <c r="H217" s="577"/>
      <c r="I217" s="577"/>
      <c r="J217" s="577"/>
      <c r="K217" s="577"/>
      <c r="L217" s="591"/>
      <c r="M217" s="577"/>
      <c r="N217" s="577"/>
      <c r="O217" s="577"/>
      <c r="P217" s="577"/>
      <c r="Q217" s="577"/>
      <c r="R217" s="577"/>
      <c r="S217" s="577"/>
      <c r="T217" s="577"/>
      <c r="U217" s="577"/>
      <c r="V217" s="577"/>
      <c r="W217" s="577"/>
      <c r="X217" s="577"/>
      <c r="Y217" s="577"/>
    </row>
    <row r="218" spans="1:25">
      <c r="A218" s="577"/>
      <c r="B218" s="577"/>
      <c r="C218" s="577"/>
      <c r="D218" s="577"/>
      <c r="E218" s="577"/>
      <c r="F218" s="577"/>
      <c r="G218" s="577"/>
      <c r="H218" s="577"/>
      <c r="I218" s="577"/>
      <c r="J218" s="577"/>
      <c r="K218" s="577"/>
      <c r="L218" s="591"/>
      <c r="M218" s="577"/>
      <c r="N218" s="577"/>
      <c r="O218" s="577"/>
      <c r="P218" s="577"/>
      <c r="Q218" s="577"/>
      <c r="R218" s="577"/>
      <c r="S218" s="577"/>
      <c r="T218" s="577"/>
      <c r="U218" s="577"/>
      <c r="V218" s="577"/>
      <c r="W218" s="577"/>
      <c r="X218" s="577"/>
      <c r="Y218" s="577"/>
    </row>
    <row r="219" spans="1:25">
      <c r="A219" s="577"/>
      <c r="B219" s="577"/>
      <c r="C219" s="577"/>
      <c r="D219" s="577"/>
      <c r="E219" s="577"/>
      <c r="F219" s="577"/>
      <c r="G219" s="577"/>
      <c r="H219" s="577"/>
      <c r="I219" s="577"/>
      <c r="J219" s="577"/>
      <c r="K219" s="577"/>
      <c r="L219" s="591"/>
      <c r="M219" s="577"/>
      <c r="N219" s="577"/>
      <c r="O219" s="577"/>
      <c r="P219" s="577"/>
      <c r="Q219" s="577"/>
      <c r="R219" s="577"/>
      <c r="S219" s="577"/>
      <c r="T219" s="577"/>
      <c r="U219" s="577"/>
      <c r="V219" s="577"/>
      <c r="W219" s="577"/>
      <c r="X219" s="577"/>
      <c r="Y219" s="577"/>
    </row>
    <row r="220" spans="1:25">
      <c r="A220" s="577"/>
      <c r="B220" s="577"/>
      <c r="C220" s="577"/>
      <c r="D220" s="577"/>
      <c r="E220" s="577"/>
      <c r="F220" s="577"/>
      <c r="G220" s="577"/>
      <c r="H220" s="577"/>
      <c r="I220" s="577"/>
      <c r="J220" s="577"/>
      <c r="K220" s="577"/>
      <c r="L220" s="591"/>
      <c r="M220" s="577"/>
      <c r="N220" s="577"/>
      <c r="O220" s="577"/>
      <c r="P220" s="577"/>
      <c r="Q220" s="577"/>
      <c r="R220" s="577"/>
      <c r="S220" s="577"/>
      <c r="T220" s="577"/>
      <c r="U220" s="577"/>
      <c r="V220" s="577"/>
      <c r="W220" s="577"/>
      <c r="X220" s="577"/>
      <c r="Y220" s="577"/>
    </row>
    <row r="221" spans="1:25">
      <c r="A221" s="577"/>
      <c r="B221" s="577"/>
      <c r="C221" s="577"/>
      <c r="D221" s="577"/>
      <c r="E221" s="577"/>
      <c r="F221" s="577"/>
      <c r="G221" s="577"/>
      <c r="H221" s="577"/>
      <c r="I221" s="577"/>
      <c r="J221" s="577"/>
      <c r="K221" s="577"/>
      <c r="L221" s="591"/>
      <c r="M221" s="577"/>
      <c r="N221" s="577"/>
      <c r="O221" s="577"/>
      <c r="P221" s="577"/>
      <c r="Q221" s="577"/>
      <c r="R221" s="577"/>
      <c r="S221" s="577"/>
      <c r="T221" s="577"/>
      <c r="U221" s="577"/>
      <c r="V221" s="577"/>
      <c r="W221" s="577"/>
      <c r="X221" s="577"/>
      <c r="Y221" s="577"/>
    </row>
    <row r="222" spans="1:25">
      <c r="A222" s="577"/>
      <c r="B222" s="577"/>
      <c r="C222" s="577"/>
      <c r="D222" s="577"/>
      <c r="E222" s="577"/>
      <c r="F222" s="577"/>
      <c r="G222" s="577"/>
      <c r="H222" s="577"/>
      <c r="I222" s="577"/>
      <c r="J222" s="577"/>
      <c r="K222" s="577"/>
      <c r="L222" s="591"/>
      <c r="M222" s="577"/>
      <c r="N222" s="577"/>
      <c r="O222" s="577"/>
      <c r="P222" s="577"/>
      <c r="Q222" s="577"/>
      <c r="R222" s="577"/>
      <c r="S222" s="577"/>
      <c r="T222" s="577"/>
      <c r="U222" s="577"/>
      <c r="V222" s="577"/>
      <c r="W222" s="577"/>
      <c r="X222" s="577"/>
      <c r="Y222" s="577"/>
    </row>
    <row r="223" spans="1:25">
      <c r="I223" s="577"/>
      <c r="J223" s="577"/>
      <c r="K223" s="577"/>
      <c r="L223" s="591"/>
      <c r="M223" s="577"/>
      <c r="N223" s="577"/>
      <c r="O223" s="577"/>
      <c r="P223" s="577"/>
      <c r="Q223" s="577"/>
      <c r="R223" s="577"/>
      <c r="S223" s="577"/>
      <c r="T223" s="577"/>
      <c r="U223" s="577"/>
      <c r="V223" s="577"/>
      <c r="W223" s="577"/>
      <c r="X223" s="577"/>
      <c r="Y223" s="577"/>
    </row>
    <row r="224" spans="1:25">
      <c r="I224" s="577"/>
      <c r="J224" s="577"/>
      <c r="K224" s="577"/>
      <c r="L224" s="591"/>
      <c r="M224" s="577"/>
      <c r="N224" s="577"/>
      <c r="O224" s="577"/>
      <c r="P224" s="577"/>
      <c r="Q224" s="577"/>
      <c r="R224" s="577"/>
      <c r="S224" s="577"/>
      <c r="T224" s="577"/>
      <c r="U224" s="577"/>
      <c r="V224" s="577"/>
      <c r="W224" s="577"/>
      <c r="X224" s="577"/>
      <c r="Y224" s="577"/>
    </row>
    <row r="225" spans="9:25">
      <c r="I225" s="577"/>
      <c r="J225" s="577"/>
      <c r="K225" s="577"/>
      <c r="L225" s="591"/>
      <c r="M225" s="577"/>
      <c r="N225" s="577"/>
      <c r="O225" s="577"/>
      <c r="P225" s="577"/>
      <c r="Q225" s="577"/>
      <c r="R225" s="577"/>
      <c r="S225" s="577"/>
      <c r="T225" s="577"/>
      <c r="U225" s="577"/>
      <c r="V225" s="577"/>
      <c r="W225" s="577"/>
      <c r="X225" s="577"/>
      <c r="Y225" s="577"/>
    </row>
    <row r="226" spans="9:25">
      <c r="I226" s="577"/>
      <c r="K226" s="577"/>
      <c r="L226" s="591"/>
      <c r="M226" s="577"/>
      <c r="N226" s="577"/>
      <c r="O226" s="577"/>
      <c r="P226" s="577"/>
      <c r="Q226" s="577"/>
      <c r="R226" s="577"/>
      <c r="S226" s="577"/>
      <c r="T226" s="577"/>
      <c r="U226" s="577"/>
      <c r="V226" s="577"/>
      <c r="W226" s="577"/>
      <c r="X226" s="577"/>
      <c r="Y226" s="577"/>
    </row>
    <row r="227" spans="9:25">
      <c r="K227" s="577"/>
      <c r="L227" s="591"/>
      <c r="M227" s="577"/>
      <c r="N227" s="577"/>
      <c r="O227" s="577"/>
      <c r="P227" s="577"/>
      <c r="Q227" s="577"/>
      <c r="R227" s="577"/>
      <c r="S227" s="577"/>
      <c r="T227" s="577"/>
      <c r="U227" s="577"/>
      <c r="V227" s="577"/>
      <c r="W227" s="577"/>
      <c r="X227" s="577"/>
      <c r="Y227" s="577"/>
    </row>
    <row r="228" spans="9:25">
      <c r="K228" s="577"/>
      <c r="L228" s="591"/>
      <c r="M228" s="577"/>
      <c r="N228" s="577"/>
      <c r="O228" s="577"/>
      <c r="P228" s="577"/>
      <c r="Q228" s="577"/>
      <c r="R228" s="577"/>
      <c r="S228" s="577"/>
      <c r="T228" s="577"/>
      <c r="U228" s="577"/>
      <c r="V228" s="577"/>
      <c r="W228" s="577"/>
      <c r="X228" s="577"/>
      <c r="Y228" s="577"/>
    </row>
    <row r="229" spans="9:25">
      <c r="K229" s="577"/>
      <c r="L229" s="591"/>
      <c r="M229" s="577"/>
      <c r="N229" s="577"/>
      <c r="O229" s="577"/>
      <c r="P229" s="577"/>
      <c r="Q229" s="577"/>
      <c r="R229" s="577"/>
      <c r="S229" s="577"/>
      <c r="T229" s="577"/>
      <c r="U229" s="577"/>
      <c r="V229" s="577"/>
      <c r="W229" s="577"/>
      <c r="X229" s="577"/>
      <c r="Y229" s="577"/>
    </row>
    <row r="230" spans="9:25">
      <c r="K230" s="577"/>
      <c r="L230" s="591"/>
      <c r="M230" s="577"/>
      <c r="N230" s="577"/>
      <c r="O230" s="577"/>
      <c r="P230" s="577"/>
      <c r="Q230" s="577"/>
      <c r="R230" s="577"/>
      <c r="S230" s="577"/>
      <c r="T230" s="577"/>
      <c r="U230" s="577"/>
      <c r="V230" s="577"/>
      <c r="W230" s="577"/>
      <c r="X230" s="577"/>
      <c r="Y230" s="577"/>
    </row>
    <row r="231" spans="9:25">
      <c r="K231" s="577"/>
      <c r="L231" s="591"/>
      <c r="M231" s="577"/>
      <c r="N231" s="577"/>
      <c r="O231" s="577"/>
      <c r="P231" s="577"/>
      <c r="Q231" s="577"/>
      <c r="R231" s="577"/>
      <c r="S231" s="577"/>
      <c r="T231" s="577"/>
      <c r="U231" s="577"/>
      <c r="V231" s="577"/>
      <c r="W231" s="577"/>
      <c r="X231" s="577"/>
      <c r="Y231" s="577"/>
    </row>
    <row r="232" spans="9:25">
      <c r="K232" s="577"/>
      <c r="L232" s="591"/>
      <c r="M232" s="577"/>
      <c r="N232" s="577"/>
      <c r="O232" s="577"/>
      <c r="P232" s="577"/>
      <c r="Q232" s="577"/>
      <c r="R232" s="577"/>
      <c r="S232" s="577"/>
      <c r="T232" s="577"/>
      <c r="U232" s="577"/>
      <c r="V232" s="577"/>
      <c r="W232" s="577"/>
      <c r="X232" s="577"/>
      <c r="Y232" s="577"/>
    </row>
    <row r="233" spans="9:25">
      <c r="K233" s="577"/>
      <c r="L233" s="591"/>
      <c r="M233" s="577"/>
      <c r="N233" s="577"/>
      <c r="O233" s="577"/>
      <c r="P233" s="577"/>
      <c r="Q233" s="577"/>
      <c r="R233" s="577"/>
      <c r="S233" s="577"/>
      <c r="T233" s="577"/>
      <c r="U233" s="577"/>
      <c r="V233" s="577"/>
      <c r="W233" s="577"/>
      <c r="X233" s="577"/>
      <c r="Y233" s="577"/>
    </row>
    <row r="234" spans="9:25">
      <c r="K234" s="577"/>
      <c r="L234" s="591"/>
      <c r="M234" s="577"/>
      <c r="N234" s="577"/>
      <c r="O234" s="577"/>
      <c r="P234" s="577"/>
      <c r="Q234" s="577"/>
      <c r="R234" s="577"/>
      <c r="S234" s="577"/>
      <c r="T234" s="577"/>
      <c r="U234" s="577"/>
      <c r="V234" s="577"/>
      <c r="W234" s="577"/>
      <c r="X234" s="577"/>
      <c r="Y234" s="577"/>
    </row>
    <row r="235" spans="9:25">
      <c r="K235" s="577"/>
      <c r="L235" s="591"/>
      <c r="M235" s="577"/>
      <c r="N235" s="577"/>
      <c r="O235" s="577"/>
      <c r="P235" s="577"/>
      <c r="Q235" s="577"/>
      <c r="R235" s="577"/>
      <c r="S235" s="577"/>
      <c r="T235" s="577"/>
      <c r="U235" s="577"/>
      <c r="V235" s="577"/>
      <c r="W235" s="577"/>
      <c r="X235" s="577"/>
      <c r="Y235" s="577"/>
    </row>
  </sheetData>
  <sheetProtection algorithmName="SHA-512" hashValue="H+FgSC+7Hd8jgWOr4RJG+EN85V9506akz83rvBt+Mi9hMvbwj1RLAYswIGbpdvn/BYs+scA42pu0Ge4P3ILbkQ==" saltValue="WFKiiJkmpSuoDxGAbvPyBA==" spinCount="100000" sheet="1" objects="1" scenarios="1"/>
  <mergeCells count="242">
    <mergeCell ref="G115:H115"/>
    <mergeCell ref="G116:H116"/>
    <mergeCell ref="G117:H117"/>
    <mergeCell ref="G118:H118"/>
    <mergeCell ref="G3:H3"/>
    <mergeCell ref="B35:H35"/>
    <mergeCell ref="G92:H92"/>
    <mergeCell ref="G44:H44"/>
    <mergeCell ref="G45:H45"/>
    <mergeCell ref="G7:H7"/>
    <mergeCell ref="G12:H12"/>
    <mergeCell ref="G46:H46"/>
    <mergeCell ref="G47:H47"/>
    <mergeCell ref="G9:H9"/>
    <mergeCell ref="G70:H70"/>
    <mergeCell ref="G39:H39"/>
    <mergeCell ref="G32:H32"/>
    <mergeCell ref="G29:H29"/>
    <mergeCell ref="G67:H67"/>
    <mergeCell ref="G55:H55"/>
    <mergeCell ref="G54:H54"/>
    <mergeCell ref="G48:H48"/>
    <mergeCell ref="G40:H40"/>
    <mergeCell ref="G8:H8"/>
    <mergeCell ref="AB147:AC147"/>
    <mergeCell ref="AB136:AC136"/>
    <mergeCell ref="K138:K146"/>
    <mergeCell ref="AG139:AH139"/>
    <mergeCell ref="L141:M141"/>
    <mergeCell ref="L142:M142"/>
    <mergeCell ref="L143:M143"/>
    <mergeCell ref="Z145:AA145"/>
    <mergeCell ref="AG145:AH145"/>
    <mergeCell ref="S146:T146"/>
    <mergeCell ref="L144:M144"/>
    <mergeCell ref="AB125:AC125"/>
    <mergeCell ref="K127:K135"/>
    <mergeCell ref="AG128:AH128"/>
    <mergeCell ref="L130:M130"/>
    <mergeCell ref="L131:M131"/>
    <mergeCell ref="L132:M132"/>
    <mergeCell ref="Z134:AA134"/>
    <mergeCell ref="AG134:AH134"/>
    <mergeCell ref="S135:T135"/>
    <mergeCell ref="L133:M133"/>
    <mergeCell ref="AB114:AC114"/>
    <mergeCell ref="K116:K124"/>
    <mergeCell ref="AG117:AH117"/>
    <mergeCell ref="L119:M119"/>
    <mergeCell ref="L120:M120"/>
    <mergeCell ref="L121:M121"/>
    <mergeCell ref="Z123:AA123"/>
    <mergeCell ref="AG123:AH123"/>
    <mergeCell ref="S124:T124"/>
    <mergeCell ref="L122:M122"/>
    <mergeCell ref="AB103:AC103"/>
    <mergeCell ref="K105:K113"/>
    <mergeCell ref="AG106:AH106"/>
    <mergeCell ref="L108:M108"/>
    <mergeCell ref="L109:M109"/>
    <mergeCell ref="L110:M110"/>
    <mergeCell ref="Z112:AA112"/>
    <mergeCell ref="AG112:AH112"/>
    <mergeCell ref="S113:T113"/>
    <mergeCell ref="AB92:AC92"/>
    <mergeCell ref="K94:K102"/>
    <mergeCell ref="AG95:AH95"/>
    <mergeCell ref="L97:M97"/>
    <mergeCell ref="L98:M98"/>
    <mergeCell ref="L99:M99"/>
    <mergeCell ref="Z101:AA101"/>
    <mergeCell ref="AG101:AH101"/>
    <mergeCell ref="S102:T102"/>
    <mergeCell ref="AB81:AC81"/>
    <mergeCell ref="K83:K91"/>
    <mergeCell ref="AG84:AH84"/>
    <mergeCell ref="L86:M86"/>
    <mergeCell ref="L87:M87"/>
    <mergeCell ref="L88:M88"/>
    <mergeCell ref="Z90:AA90"/>
    <mergeCell ref="AG90:AH90"/>
    <mergeCell ref="S91:T91"/>
    <mergeCell ref="AB70:AC70"/>
    <mergeCell ref="K72:K80"/>
    <mergeCell ref="AG73:AH73"/>
    <mergeCell ref="L75:M75"/>
    <mergeCell ref="L76:M76"/>
    <mergeCell ref="L77:M77"/>
    <mergeCell ref="Z79:AA79"/>
    <mergeCell ref="AG79:AH79"/>
    <mergeCell ref="S80:T80"/>
    <mergeCell ref="AB59:AC59"/>
    <mergeCell ref="K61:K69"/>
    <mergeCell ref="AG62:AH62"/>
    <mergeCell ref="L64:M64"/>
    <mergeCell ref="L65:M65"/>
    <mergeCell ref="L66:M66"/>
    <mergeCell ref="Z68:AA68"/>
    <mergeCell ref="AG68:AH68"/>
    <mergeCell ref="S69:T69"/>
    <mergeCell ref="Z46:AA46"/>
    <mergeCell ref="AG46:AH46"/>
    <mergeCell ref="S47:T47"/>
    <mergeCell ref="AB48:AC48"/>
    <mergeCell ref="K50:K58"/>
    <mergeCell ref="AG51:AH51"/>
    <mergeCell ref="L53:M53"/>
    <mergeCell ref="L54:M54"/>
    <mergeCell ref="L55:M55"/>
    <mergeCell ref="Z57:AA57"/>
    <mergeCell ref="AG57:AH57"/>
    <mergeCell ref="S58:T58"/>
    <mergeCell ref="AG13:AH13"/>
    <mergeCell ref="Z13:AA13"/>
    <mergeCell ref="AG7:AH7"/>
    <mergeCell ref="G57:H57"/>
    <mergeCell ref="G42:H42"/>
    <mergeCell ref="G53:H53"/>
    <mergeCell ref="G43:H43"/>
    <mergeCell ref="G56:H56"/>
    <mergeCell ref="G33:H33"/>
    <mergeCell ref="AB15:AC15"/>
    <mergeCell ref="K17:K25"/>
    <mergeCell ref="AG18:AH18"/>
    <mergeCell ref="L20:M20"/>
    <mergeCell ref="L21:M21"/>
    <mergeCell ref="L22:M22"/>
    <mergeCell ref="Z24:AA24"/>
    <mergeCell ref="AG24:AH24"/>
    <mergeCell ref="S25:T25"/>
    <mergeCell ref="S14:T14"/>
    <mergeCell ref="AB26:AC26"/>
    <mergeCell ref="K39:K47"/>
    <mergeCell ref="AG40:AH40"/>
    <mergeCell ref="L42:M42"/>
    <mergeCell ref="L43:M43"/>
    <mergeCell ref="L9:M9"/>
    <mergeCell ref="G77:H77"/>
    <mergeCell ref="G71:H71"/>
    <mergeCell ref="G72:H72"/>
    <mergeCell ref="G73:H73"/>
    <mergeCell ref="G49:H49"/>
    <mergeCell ref="G10:H10"/>
    <mergeCell ref="G20:H20"/>
    <mergeCell ref="G68:H68"/>
    <mergeCell ref="L10:M10"/>
    <mergeCell ref="G75:H75"/>
    <mergeCell ref="L11:M11"/>
    <mergeCell ref="G51:H51"/>
    <mergeCell ref="G50:H50"/>
    <mergeCell ref="G27:H27"/>
    <mergeCell ref="G37:H37"/>
    <mergeCell ref="K6:K14"/>
    <mergeCell ref="G31:H31"/>
    <mergeCell ref="G36:H36"/>
    <mergeCell ref="G41:H41"/>
    <mergeCell ref="B34:H34"/>
    <mergeCell ref="G38:H38"/>
    <mergeCell ref="L44:M44"/>
    <mergeCell ref="G30:H30"/>
    <mergeCell ref="G13:H13"/>
    <mergeCell ref="G25:H25"/>
    <mergeCell ref="B16:H16"/>
    <mergeCell ref="G17:H17"/>
    <mergeCell ref="G18:H18"/>
    <mergeCell ref="G19:H19"/>
    <mergeCell ref="G21:H21"/>
    <mergeCell ref="G22:H22"/>
    <mergeCell ref="G14:H14"/>
    <mergeCell ref="G104:H104"/>
    <mergeCell ref="G5:H5"/>
    <mergeCell ref="G4:H4"/>
    <mergeCell ref="G76:H76"/>
    <mergeCell ref="G95:H95"/>
    <mergeCell ref="G91:H91"/>
    <mergeCell ref="G82:H82"/>
    <mergeCell ref="G85:H85"/>
    <mergeCell ref="G86:H86"/>
    <mergeCell ref="G15:H15"/>
    <mergeCell ref="G101:H101"/>
    <mergeCell ref="G99:H99"/>
    <mergeCell ref="G58:H58"/>
    <mergeCell ref="G74:H74"/>
    <mergeCell ref="G69:H69"/>
    <mergeCell ref="G26:H26"/>
    <mergeCell ref="G90:H90"/>
    <mergeCell ref="G100:H100"/>
    <mergeCell ref="G80:H80"/>
    <mergeCell ref="G28:H28"/>
    <mergeCell ref="G52:H52"/>
    <mergeCell ref="G6:H6"/>
    <mergeCell ref="G23:H23"/>
    <mergeCell ref="G11:H11"/>
    <mergeCell ref="G65:H65"/>
    <mergeCell ref="G66:H66"/>
    <mergeCell ref="G59:H59"/>
    <mergeCell ref="G60:H60"/>
    <mergeCell ref="G61:H61"/>
    <mergeCell ref="G62:H62"/>
    <mergeCell ref="G63:H63"/>
    <mergeCell ref="G64:H64"/>
    <mergeCell ref="G103:H103"/>
    <mergeCell ref="G79:H79"/>
    <mergeCell ref="G102:H102"/>
    <mergeCell ref="G94:H94"/>
    <mergeCell ref="B96:H96"/>
    <mergeCell ref="G97:H97"/>
    <mergeCell ref="G81:H81"/>
    <mergeCell ref="G93:H93"/>
    <mergeCell ref="G87:H87"/>
    <mergeCell ref="G88:H88"/>
    <mergeCell ref="G83:H83"/>
    <mergeCell ref="G84:H84"/>
    <mergeCell ref="G78:H78"/>
    <mergeCell ref="L12:M12"/>
    <mergeCell ref="L23:M23"/>
    <mergeCell ref="L45:M45"/>
    <mergeCell ref="L56:M56"/>
    <mergeCell ref="L67:M67"/>
    <mergeCell ref="L78:M78"/>
    <mergeCell ref="L89:M89"/>
    <mergeCell ref="L100:M100"/>
    <mergeCell ref="L111:M111"/>
    <mergeCell ref="AB37:AC37"/>
    <mergeCell ref="K28:K36"/>
    <mergeCell ref="AG29:AH29"/>
    <mergeCell ref="L31:M31"/>
    <mergeCell ref="L32:M32"/>
    <mergeCell ref="L33:M33"/>
    <mergeCell ref="L34:M34"/>
    <mergeCell ref="Z35:AA35"/>
    <mergeCell ref="AG35:AH35"/>
    <mergeCell ref="S36:T36"/>
    <mergeCell ref="G112:H112"/>
    <mergeCell ref="G113:H113"/>
    <mergeCell ref="G114:H114"/>
    <mergeCell ref="G106:H106"/>
    <mergeCell ref="G107:H107"/>
    <mergeCell ref="G108:H108"/>
    <mergeCell ref="G109:H109"/>
    <mergeCell ref="G110:H110"/>
    <mergeCell ref="G111:H111"/>
  </mergeCells>
  <pageMargins left="0.7" right="0.7" top="0.78740157499999996" bottom="0.78740157499999996"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9"/>
  <sheetViews>
    <sheetView workbookViewId="0"/>
  </sheetViews>
  <sheetFormatPr baseColWidth="10" defaultRowHeight="12.75"/>
  <cols>
    <col min="1" max="1" width="2.7109375" customWidth="1"/>
    <col min="2" max="11" width="10.7109375" customWidth="1"/>
  </cols>
  <sheetData>
    <row r="2" spans="2:11" ht="18">
      <c r="B2" s="246" t="s">
        <v>250</v>
      </c>
      <c r="C2" s="246"/>
    </row>
    <row r="3" spans="2:11">
      <c r="K3" s="440"/>
    </row>
    <row r="4" spans="2:11">
      <c r="B4" s="303" t="s">
        <v>255</v>
      </c>
      <c r="C4" s="304"/>
      <c r="D4" s="1829">
        <f>ZRB!G23</f>
        <v>0</v>
      </c>
      <c r="E4" s="1830"/>
      <c r="F4" s="281"/>
      <c r="G4" s="281"/>
      <c r="H4" s="281"/>
      <c r="I4" s="281"/>
      <c r="J4" s="281"/>
    </row>
    <row r="5" spans="2:11">
      <c r="B5" s="305" t="s">
        <v>0</v>
      </c>
      <c r="C5" s="306"/>
      <c r="D5" s="1831" t="str">
        <f>ZRB!G11</f>
        <v>Stuttgart</v>
      </c>
      <c r="E5" s="1832"/>
      <c r="F5" s="282"/>
      <c r="G5" s="282"/>
      <c r="H5" s="282"/>
      <c r="I5" s="282"/>
      <c r="J5" s="282"/>
    </row>
    <row r="6" spans="2:11">
      <c r="B6" s="307" t="s">
        <v>106</v>
      </c>
      <c r="C6" s="308"/>
      <c r="D6" s="1833">
        <f>ZRB!G6</f>
        <v>0</v>
      </c>
      <c r="E6" s="1834"/>
      <c r="F6" s="283"/>
      <c r="G6" s="283"/>
      <c r="H6" s="283"/>
      <c r="I6" s="283"/>
      <c r="J6" s="283"/>
    </row>
    <row r="7" spans="2:11">
      <c r="F7" s="1"/>
      <c r="G7" s="1"/>
      <c r="H7" s="1" t="s">
        <v>263</v>
      </c>
      <c r="I7" s="1"/>
      <c r="J7" s="1"/>
    </row>
    <row r="8" spans="2:11">
      <c r="D8" s="284" t="s">
        <v>258</v>
      </c>
      <c r="E8" s="286" t="s">
        <v>258</v>
      </c>
      <c r="F8" s="279" t="s">
        <v>264</v>
      </c>
      <c r="G8" s="289" t="s">
        <v>265</v>
      </c>
      <c r="H8" s="312" t="s">
        <v>251</v>
      </c>
      <c r="I8" s="313" t="s">
        <v>252</v>
      </c>
      <c r="J8" s="313" t="s">
        <v>253</v>
      </c>
      <c r="K8" s="314" t="s">
        <v>251</v>
      </c>
    </row>
    <row r="9" spans="2:11">
      <c r="B9" s="1" t="s">
        <v>0</v>
      </c>
      <c r="C9" s="1" t="s">
        <v>256</v>
      </c>
      <c r="D9" s="267" t="s">
        <v>259</v>
      </c>
      <c r="E9" s="287" t="s">
        <v>198</v>
      </c>
      <c r="F9" s="279"/>
      <c r="G9" s="289"/>
      <c r="H9" s="315" t="s">
        <v>249</v>
      </c>
      <c r="I9" s="316"/>
      <c r="J9" s="316"/>
      <c r="K9" s="317" t="s">
        <v>254</v>
      </c>
    </row>
    <row r="10" spans="2:11">
      <c r="B10" s="268">
        <f>Einstrahlung!K10/100</f>
        <v>2.5608174927820651E-2</v>
      </c>
      <c r="C10" s="269">
        <v>31</v>
      </c>
      <c r="D10" s="285">
        <f t="shared" ref="D10:D21" si="0">IF($D$6&lt;=0,0,(B10*$D$4)/(C10*$D$6))</f>
        <v>0</v>
      </c>
      <c r="E10" s="288">
        <f>D10*$D$6</f>
        <v>0</v>
      </c>
      <c r="F10" s="280">
        <f t="shared" ref="F10:F21" si="1">IF(I10*$D$6&gt;10000,ROUNDUP(I10*$D$6,-3),IF(I10*$D$6&gt;1000,ROUNDUP(I10*$D$6,-2),IF(I10*$D$6&gt;100,ROUNDUP(I10*$D$6,-1),IF(I10*$D$6&gt;10,ROUNDUP(I10*$D$6,0),ROUNDUP(I10*$D$6,1)))))</f>
        <v>0</v>
      </c>
      <c r="G10" s="311">
        <f t="shared" ref="G10:G21" si="2">IF(J10*$D$6&gt;10000,ROUNDUP(J10*$D$6,-3),IF(J10*$D$6&gt;1000,ROUNDUP(J10*$D$6,-2),IF(J10*$D$6&gt;100,ROUNDUP(J10*$D$6,-1),IF(J10*$D$6&gt;10,ROUNDUP(J10*$D$6,0),ROUNDUP(J10*$D$6,1)))))</f>
        <v>0</v>
      </c>
      <c r="H10" s="318">
        <f t="shared" ref="H10:H21" si="3">D10</f>
        <v>0</v>
      </c>
      <c r="I10" s="322">
        <f>H10*0</f>
        <v>0</v>
      </c>
      <c r="J10" s="322">
        <f>H10*2.5</f>
        <v>0</v>
      </c>
      <c r="K10" s="319">
        <f>H10</f>
        <v>0</v>
      </c>
    </row>
    <row r="11" spans="2:11">
      <c r="B11" s="268">
        <f>Einstrahlung!K12/100</f>
        <v>4.1649136426436778E-2</v>
      </c>
      <c r="C11" s="269">
        <v>28</v>
      </c>
      <c r="D11" s="285">
        <f t="shared" si="0"/>
        <v>0</v>
      </c>
      <c r="E11" s="288">
        <f t="shared" ref="E11:E21" si="4">D11*$D$6</f>
        <v>0</v>
      </c>
      <c r="F11" s="280">
        <f t="shared" si="1"/>
        <v>0</v>
      </c>
      <c r="G11" s="311">
        <f t="shared" si="2"/>
        <v>0</v>
      </c>
      <c r="H11" s="318">
        <f t="shared" si="3"/>
        <v>0</v>
      </c>
      <c r="I11" s="322">
        <f>H11*0</f>
        <v>0</v>
      </c>
      <c r="J11" s="322">
        <f>H11*2.25</f>
        <v>0</v>
      </c>
      <c r="K11" s="319">
        <f t="shared" ref="K11:K20" si="5">H11</f>
        <v>0</v>
      </c>
    </row>
    <row r="12" spans="2:11">
      <c r="B12" s="268">
        <f>Einstrahlung!K14/100</f>
        <v>7.2028251056564546E-2</v>
      </c>
      <c r="C12" s="269">
        <v>31</v>
      </c>
      <c r="D12" s="285">
        <f t="shared" si="0"/>
        <v>0</v>
      </c>
      <c r="E12" s="288">
        <f t="shared" si="4"/>
        <v>0</v>
      </c>
      <c r="F12" s="280">
        <f t="shared" si="1"/>
        <v>0</v>
      </c>
      <c r="G12" s="311">
        <f t="shared" si="2"/>
        <v>0</v>
      </c>
      <c r="H12" s="318">
        <f t="shared" si="3"/>
        <v>0</v>
      </c>
      <c r="I12" s="322">
        <f>H12*0.2</f>
        <v>0</v>
      </c>
      <c r="J12" s="322">
        <f>H12*2</f>
        <v>0</v>
      </c>
      <c r="K12" s="319">
        <f t="shared" si="5"/>
        <v>0</v>
      </c>
    </row>
    <row r="13" spans="2:11">
      <c r="B13" s="268">
        <f>Einstrahlung!K16/100</f>
        <v>0.10607718010591433</v>
      </c>
      <c r="C13" s="269">
        <v>30</v>
      </c>
      <c r="D13" s="285">
        <f t="shared" si="0"/>
        <v>0</v>
      </c>
      <c r="E13" s="288">
        <f t="shared" si="4"/>
        <v>0</v>
      </c>
      <c r="F13" s="280">
        <f t="shared" si="1"/>
        <v>0</v>
      </c>
      <c r="G13" s="311">
        <f t="shared" si="2"/>
        <v>0</v>
      </c>
      <c r="H13" s="318">
        <f t="shared" si="3"/>
        <v>0</v>
      </c>
      <c r="I13" s="322">
        <f>H13*0.25</f>
        <v>0</v>
      </c>
      <c r="J13" s="322">
        <f>H13*1.8</f>
        <v>0</v>
      </c>
      <c r="K13" s="319">
        <f t="shared" si="5"/>
        <v>0</v>
      </c>
    </row>
    <row r="14" spans="2:11">
      <c r="B14" s="268">
        <f>Einstrahlung!K18/100</f>
        <v>0.13841877685519705</v>
      </c>
      <c r="C14" s="269">
        <v>31</v>
      </c>
      <c r="D14" s="285">
        <f t="shared" si="0"/>
        <v>0</v>
      </c>
      <c r="E14" s="288">
        <f t="shared" si="4"/>
        <v>0</v>
      </c>
      <c r="F14" s="280">
        <f t="shared" si="1"/>
        <v>0</v>
      </c>
      <c r="G14" s="311">
        <f t="shared" si="2"/>
        <v>0</v>
      </c>
      <c r="H14" s="318">
        <f t="shared" si="3"/>
        <v>0</v>
      </c>
      <c r="I14" s="322">
        <f>H14*0.3</f>
        <v>0</v>
      </c>
      <c r="J14" s="322">
        <f>H14*1.6</f>
        <v>0</v>
      </c>
      <c r="K14" s="319">
        <f t="shared" si="5"/>
        <v>0</v>
      </c>
    </row>
    <row r="15" spans="2:11">
      <c r="B15" s="268">
        <f>Einstrahlung!K20/100</f>
        <v>0.14263960630925787</v>
      </c>
      <c r="C15" s="269">
        <v>30</v>
      </c>
      <c r="D15" s="285">
        <f t="shared" si="0"/>
        <v>0</v>
      </c>
      <c r="E15" s="288">
        <f t="shared" si="4"/>
        <v>0</v>
      </c>
      <c r="F15" s="280">
        <f t="shared" si="1"/>
        <v>0</v>
      </c>
      <c r="G15" s="311">
        <f t="shared" si="2"/>
        <v>0</v>
      </c>
      <c r="H15" s="318">
        <f t="shared" si="3"/>
        <v>0</v>
      </c>
      <c r="I15" s="322">
        <f>H15*0.3</f>
        <v>0</v>
      </c>
      <c r="J15" s="322">
        <f>H15*1.55</f>
        <v>0</v>
      </c>
      <c r="K15" s="319">
        <f t="shared" si="5"/>
        <v>0</v>
      </c>
    </row>
    <row r="16" spans="2:11">
      <c r="B16" s="268">
        <f>Einstrahlung!K22/100</f>
        <v>0.15076006597703834</v>
      </c>
      <c r="C16" s="269">
        <v>31</v>
      </c>
      <c r="D16" s="285">
        <f t="shared" si="0"/>
        <v>0</v>
      </c>
      <c r="E16" s="288">
        <f t="shared" si="4"/>
        <v>0</v>
      </c>
      <c r="F16" s="280">
        <f t="shared" si="1"/>
        <v>0</v>
      </c>
      <c r="G16" s="311">
        <f t="shared" si="2"/>
        <v>0</v>
      </c>
      <c r="H16" s="318">
        <f t="shared" si="3"/>
        <v>0</v>
      </c>
      <c r="I16" s="322">
        <f>H16*0.3</f>
        <v>0</v>
      </c>
      <c r="J16" s="322">
        <f>H16*1.5</f>
        <v>0</v>
      </c>
      <c r="K16" s="319">
        <f t="shared" si="5"/>
        <v>0</v>
      </c>
    </row>
    <row r="17" spans="2:11">
      <c r="B17" s="268">
        <f>Einstrahlung!K24/100</f>
        <v>0.13149082591634526</v>
      </c>
      <c r="C17" s="269">
        <v>31</v>
      </c>
      <c r="D17" s="285">
        <f t="shared" si="0"/>
        <v>0</v>
      </c>
      <c r="E17" s="288">
        <f t="shared" si="4"/>
        <v>0</v>
      </c>
      <c r="F17" s="280">
        <f t="shared" si="1"/>
        <v>0</v>
      </c>
      <c r="G17" s="311">
        <f t="shared" si="2"/>
        <v>0</v>
      </c>
      <c r="H17" s="318">
        <f t="shared" si="3"/>
        <v>0</v>
      </c>
      <c r="I17" s="322">
        <f>H17*0.3</f>
        <v>0</v>
      </c>
      <c r="J17" s="322">
        <f>H17*1.6</f>
        <v>0</v>
      </c>
      <c r="K17" s="319">
        <f t="shared" si="5"/>
        <v>0</v>
      </c>
    </row>
    <row r="18" spans="2:11">
      <c r="B18" s="268">
        <f>Einstrahlung!K26/100</f>
        <v>8.9193862289671036E-2</v>
      </c>
      <c r="C18" s="269">
        <v>30</v>
      </c>
      <c r="D18" s="285">
        <f t="shared" si="0"/>
        <v>0</v>
      </c>
      <c r="E18" s="288">
        <f t="shared" si="4"/>
        <v>0</v>
      </c>
      <c r="F18" s="280">
        <f t="shared" si="1"/>
        <v>0</v>
      </c>
      <c r="G18" s="311">
        <f t="shared" si="2"/>
        <v>0</v>
      </c>
      <c r="H18" s="318">
        <f t="shared" si="3"/>
        <v>0</v>
      </c>
      <c r="I18" s="322">
        <f>H18*0.25</f>
        <v>0</v>
      </c>
      <c r="J18" s="322">
        <f>H18*1.8</f>
        <v>0</v>
      </c>
      <c r="K18" s="319">
        <f t="shared" si="5"/>
        <v>0</v>
      </c>
    </row>
    <row r="19" spans="2:11">
      <c r="B19" s="268">
        <f>Einstrahlung!K28/100</f>
        <v>5.3516317373802628E-2</v>
      </c>
      <c r="C19" s="269">
        <v>31</v>
      </c>
      <c r="D19" s="285">
        <f t="shared" si="0"/>
        <v>0</v>
      </c>
      <c r="E19" s="288">
        <f t="shared" si="4"/>
        <v>0</v>
      </c>
      <c r="F19" s="280">
        <f t="shared" si="1"/>
        <v>0</v>
      </c>
      <c r="G19" s="311">
        <f t="shared" si="2"/>
        <v>0</v>
      </c>
      <c r="H19" s="318">
        <f t="shared" si="3"/>
        <v>0</v>
      </c>
      <c r="I19" s="322">
        <f>H19*0.2</f>
        <v>0</v>
      </c>
      <c r="J19" s="322">
        <f>H19*2</f>
        <v>0</v>
      </c>
      <c r="K19" s="319">
        <f t="shared" si="5"/>
        <v>0</v>
      </c>
    </row>
    <row r="20" spans="2:11">
      <c r="B20" s="268">
        <f>Einstrahlung!K30/100</f>
        <v>2.9152224010683722E-2</v>
      </c>
      <c r="C20" s="269">
        <v>30</v>
      </c>
      <c r="D20" s="285">
        <f t="shared" si="0"/>
        <v>0</v>
      </c>
      <c r="E20" s="288">
        <f t="shared" si="4"/>
        <v>0</v>
      </c>
      <c r="F20" s="280">
        <f t="shared" si="1"/>
        <v>0</v>
      </c>
      <c r="G20" s="311">
        <f t="shared" si="2"/>
        <v>0</v>
      </c>
      <c r="H20" s="318">
        <f t="shared" si="3"/>
        <v>0</v>
      </c>
      <c r="I20" s="322">
        <f>H20*0</f>
        <v>0</v>
      </c>
      <c r="J20" s="322">
        <f>H20*2.25</f>
        <v>0</v>
      </c>
      <c r="K20" s="319">
        <f t="shared" si="5"/>
        <v>0</v>
      </c>
    </row>
    <row r="21" spans="2:11">
      <c r="B21" s="268">
        <f>Einstrahlung!K32/100</f>
        <v>1.9465578751267833E-2</v>
      </c>
      <c r="C21" s="269">
        <v>31</v>
      </c>
      <c r="D21" s="285">
        <f t="shared" si="0"/>
        <v>0</v>
      </c>
      <c r="E21" s="288">
        <f t="shared" si="4"/>
        <v>0</v>
      </c>
      <c r="F21" s="280">
        <f t="shared" si="1"/>
        <v>0</v>
      </c>
      <c r="G21" s="311">
        <f t="shared" si="2"/>
        <v>0</v>
      </c>
      <c r="H21" s="320">
        <f t="shared" si="3"/>
        <v>0</v>
      </c>
      <c r="I21" s="323">
        <f>H21*0</f>
        <v>0</v>
      </c>
      <c r="J21" s="323">
        <f>H21*2.5</f>
        <v>0</v>
      </c>
      <c r="K21" s="321">
        <f>H21</f>
        <v>0</v>
      </c>
    </row>
    <row r="22" spans="2:11">
      <c r="D22" s="270">
        <f>MAX(D10:D21)</f>
        <v>0</v>
      </c>
      <c r="E22" s="270"/>
      <c r="F22" s="271"/>
      <c r="G22" s="271"/>
      <c r="H22" s="271"/>
      <c r="I22" s="271"/>
      <c r="J22" s="271"/>
    </row>
    <row r="23" spans="2:11">
      <c r="C23" s="272" t="s">
        <v>257</v>
      </c>
      <c r="D23" s="273">
        <f>IF(D22&gt;10000,ROUNDUP(D22,-4),IF(D22&gt;1000,ROUNDUP(D22,-3),IF(D22&gt;100,ROUNDUP(D22,-2),ROUNDUP(D22,-1))))</f>
        <v>0</v>
      </c>
      <c r="E23" s="273"/>
      <c r="F23" s="270"/>
      <c r="G23" s="270"/>
      <c r="H23" s="270"/>
      <c r="I23" s="270"/>
      <c r="J23" s="270"/>
    </row>
    <row r="24" spans="2:11">
      <c r="C24" s="274"/>
      <c r="D24" s="276">
        <f>($D$23/5)*4</f>
        <v>0</v>
      </c>
      <c r="E24" s="276">
        <f>IF($D$6&lt;=0,0,D24*$D$6)</f>
        <v>0</v>
      </c>
      <c r="F24" s="270"/>
      <c r="G24" s="270"/>
      <c r="H24" s="270"/>
      <c r="I24" s="270"/>
      <c r="J24" s="270"/>
    </row>
    <row r="25" spans="2:11">
      <c r="C25" s="274"/>
      <c r="D25" s="276">
        <f>($D$23/5)*3</f>
        <v>0</v>
      </c>
      <c r="E25" s="276">
        <f>IF($D$6&lt;=0,0,D25*$D$6)</f>
        <v>0</v>
      </c>
      <c r="F25" s="270"/>
      <c r="G25" s="270"/>
      <c r="H25" s="270"/>
      <c r="I25" s="270"/>
      <c r="J25" s="270"/>
    </row>
    <row r="26" spans="2:11">
      <c r="C26" s="274"/>
      <c r="D26" s="276">
        <f>($D$23/5)*2</f>
        <v>0</v>
      </c>
      <c r="E26" s="276">
        <f>IF($D$6&lt;=0,0,D26*$D$6)</f>
        <v>0</v>
      </c>
      <c r="F26" s="270"/>
      <c r="G26" s="270"/>
      <c r="H26" s="270"/>
      <c r="I26" s="270"/>
      <c r="J26" s="270"/>
    </row>
    <row r="27" spans="2:11">
      <c r="C27" s="275"/>
      <c r="D27" s="277">
        <f>($D$23/5)*1</f>
        <v>0</v>
      </c>
      <c r="E27" s="277">
        <f>IF($D$6&lt;=0,0,D27*$D$6)</f>
        <v>0</v>
      </c>
      <c r="F27" s="270"/>
      <c r="G27" s="270"/>
      <c r="H27" s="270"/>
      <c r="I27" s="270"/>
      <c r="J27" s="270"/>
    </row>
    <row r="28" spans="2:11">
      <c r="D28" s="270"/>
      <c r="E28" s="270"/>
    </row>
    <row r="29" spans="2:11">
      <c r="D29" s="270"/>
      <c r="E29" s="270"/>
    </row>
  </sheetData>
  <sheetProtection password="F30F" sheet="1"/>
  <mergeCells count="3">
    <mergeCell ref="D4:E4"/>
    <mergeCell ref="D5:E5"/>
    <mergeCell ref="D6:E6"/>
  </mergeCells>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6</vt:i4>
      </vt:variant>
    </vt:vector>
  </HeadingPairs>
  <TitlesOfParts>
    <vt:vector size="16" baseType="lpstr">
      <vt:lpstr>Programmbeschreibung</vt:lpstr>
      <vt:lpstr>Kalkulation_Eigenstrom</vt:lpstr>
      <vt:lpstr>Aktueller_Stand_EEG_2021</vt:lpstr>
      <vt:lpstr>Druck</vt:lpstr>
      <vt:lpstr>Vergütungen_Stammdaten</vt:lpstr>
      <vt:lpstr>Vergütungen_Original</vt:lpstr>
      <vt:lpstr>Einstrahlung</vt:lpstr>
      <vt:lpstr>ZRB</vt:lpstr>
      <vt:lpstr>Grafik_Ertrag</vt:lpstr>
      <vt:lpstr>Grafik_Kosten</vt:lpstr>
      <vt:lpstr>Aktueller_Stand_EEG_2021!Druckbereich</vt:lpstr>
      <vt:lpstr>Druck!Druckbereich</vt:lpstr>
      <vt:lpstr>Einstrahlung!Druckbereich</vt:lpstr>
      <vt:lpstr>Kalkulation_Eigenstrom!Druckbereich</vt:lpstr>
      <vt:lpstr>Programmbeschreibung!Druckbereich</vt:lpstr>
      <vt:lpstr>Programmbeschreibung!Drucktitel</vt:lpstr>
    </vt:vector>
  </TitlesOfParts>
  <Company>EBZI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SchmidW</dc:creator>
  <cp:lastModifiedBy>Schmid, Werner (LEL-SG)</cp:lastModifiedBy>
  <cp:lastPrinted>2022-01-05T15:54:54Z</cp:lastPrinted>
  <dcterms:created xsi:type="dcterms:W3CDTF">2005-09-07T11:18:51Z</dcterms:created>
  <dcterms:modified xsi:type="dcterms:W3CDTF">2022-05-04T10:00:13Z</dcterms:modified>
</cp:coreProperties>
</file>